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Белое море" sheetId="1" r:id="rId4"/>
    <sheet state="visible" name="Расчет цены контракта график" sheetId="2" r:id="rId5"/>
  </sheets>
  <definedNames/>
  <calcPr/>
</workbook>
</file>

<file path=xl/sharedStrings.xml><?xml version="1.0" encoding="utf-8"?>
<sst xmlns="http://schemas.openxmlformats.org/spreadsheetml/2006/main" count="805" uniqueCount="407">
  <si>
    <t>ЗАКАЗЧИК: Государственное бюджетное учреждение Нижегородской области "Экология Региона"</t>
  </si>
  <si>
    <t>"УТВЕРЖДЕН "     "_______"_____________________2016г./2017г.</t>
  </si>
  <si>
    <t xml:space="preserve">Сводный сметный расчет в сумме              </t>
  </si>
  <si>
    <t>тыс.руб.</t>
  </si>
  <si>
    <t>в т.ч. возвратных сумм</t>
  </si>
  <si>
    <t>(ссылка на документ об утверждении)</t>
  </si>
  <si>
    <t>"__________"_____________________________________________2016г./2017г.</t>
  </si>
  <si>
    <t xml:space="preserve">                Сводный сметный расчет стоимости строительства</t>
  </si>
  <si>
    <t xml:space="preserve">       Ликвидация (консерваци)шламонакопителя "Белое море" на территории завода "Капролактам"</t>
  </si>
  <si>
    <t>Составлен в ценах по состоянию на  III квартал 2016г.</t>
  </si>
  <si>
    <t xml:space="preserve">тыс.руб. </t>
  </si>
  <si>
    <t>№№ п/п</t>
  </si>
  <si>
    <t>Номера сметных расчетов и смет</t>
  </si>
  <si>
    <t>Наименование глав, объектов, работ и затрат</t>
  </si>
  <si>
    <t xml:space="preserve">Сметная стоимость </t>
  </si>
  <si>
    <t>Общая сметная стоимость</t>
  </si>
  <si>
    <t>строительных работ</t>
  </si>
  <si>
    <t>монтажных работ</t>
  </si>
  <si>
    <t>оборудования, мебели и инвентаря</t>
  </si>
  <si>
    <t>прочих затрат</t>
  </si>
  <si>
    <t>1.</t>
  </si>
  <si>
    <t>Глава 1.</t>
  </si>
  <si>
    <t>Подготовка территории строительства.</t>
  </si>
  <si>
    <t xml:space="preserve">здесь может быть достаточное количество затрат со стороны Заказчика  </t>
  </si>
  <si>
    <t>1.3</t>
  </si>
  <si>
    <t xml:space="preserve">Договор, счет </t>
  </si>
  <si>
    <t>Выдача технических условий на _____________________</t>
  </si>
  <si>
    <t>1.4</t>
  </si>
  <si>
    <t>Подготовка для рассмотрения и согласования проектной документации</t>
  </si>
  <si>
    <t>Итого по главе 1.</t>
  </si>
  <si>
    <t>2.</t>
  </si>
  <si>
    <t>Глава 2.</t>
  </si>
  <si>
    <t>Основные объекты строительства</t>
  </si>
  <si>
    <t>2.1</t>
  </si>
  <si>
    <t>Локальная смета №2/1</t>
  </si>
  <si>
    <t>Планировка земельного участка</t>
  </si>
  <si>
    <t>2.2</t>
  </si>
  <si>
    <t>Локальная смета №2/2</t>
  </si>
  <si>
    <t>Мероприятия по обеспечению антитеррористической защиты объекта</t>
  </si>
  <si>
    <t>2.3</t>
  </si>
  <si>
    <t>Локальная смета №2/3</t>
  </si>
  <si>
    <t>Устройство ограждения</t>
  </si>
  <si>
    <t>2.4</t>
  </si>
  <si>
    <t>Локальная смета №2/4</t>
  </si>
  <si>
    <t>Рекультивация</t>
  </si>
  <si>
    <t>Итого по главе 2</t>
  </si>
  <si>
    <t>3.</t>
  </si>
  <si>
    <t>Глава 3.</t>
  </si>
  <si>
    <t>Объекты подсобного и обслуживающего назначения</t>
  </si>
  <si>
    <t>Затрат нет</t>
  </si>
  <si>
    <t>Итого по главе 3.</t>
  </si>
  <si>
    <t>4.</t>
  </si>
  <si>
    <t>Глава 4.</t>
  </si>
  <si>
    <t>Объекты энергетического хозяйства</t>
  </si>
  <si>
    <t>4.1</t>
  </si>
  <si>
    <t>Локальный сметный расчет №2.</t>
  </si>
  <si>
    <t>Перезавод кабельных линий 10кВ в ТП 2х400</t>
  </si>
  <si>
    <t>Итого по главе 4.</t>
  </si>
  <si>
    <t>5.</t>
  </si>
  <si>
    <t>Глава 5.</t>
  </si>
  <si>
    <t>Объекты транспортного хозяйства и связи</t>
  </si>
  <si>
    <t>5.1</t>
  </si>
  <si>
    <t>Итого по главе 5.</t>
  </si>
  <si>
    <t>6.</t>
  </si>
  <si>
    <t>Глава 6.</t>
  </si>
  <si>
    <t>Наружные сети и сооружения водоснабжения, канализации,теплоснабжения и газоснабжения.</t>
  </si>
  <si>
    <t>6.1</t>
  </si>
  <si>
    <t>Итого по главе 6.</t>
  </si>
  <si>
    <t>7.</t>
  </si>
  <si>
    <t>Глава 7.</t>
  </si>
  <si>
    <t>Благоустройство и озеленение территории</t>
  </si>
  <si>
    <t>7.1</t>
  </si>
  <si>
    <t>Итого по главе 7.</t>
  </si>
  <si>
    <t>Итого по главам 1-7</t>
  </si>
  <si>
    <t>8.</t>
  </si>
  <si>
    <t>Глава 8.</t>
  </si>
  <si>
    <t>Временные здания и сооружения</t>
  </si>
  <si>
    <t>8.1</t>
  </si>
  <si>
    <t>Локальная смета №8/1</t>
  </si>
  <si>
    <t>Установка бытовок,дизбарьера,резервуара устройство временных дорог из сборных железобетонных плит</t>
  </si>
  <si>
    <t>Итого по главе 8</t>
  </si>
  <si>
    <t>Итого по главам 1-8</t>
  </si>
  <si>
    <t>9.</t>
  </si>
  <si>
    <t>Глава 9.</t>
  </si>
  <si>
    <t>Прочие работы и затраты</t>
  </si>
  <si>
    <t>9.1</t>
  </si>
  <si>
    <t>от 24.08.2016г. №3535-1205 №0011-0047-16</t>
  </si>
  <si>
    <t xml:space="preserve">Средства на создание страхового фонда </t>
  </si>
  <si>
    <t>9.2</t>
  </si>
  <si>
    <t xml:space="preserve">Дополнительные затраты при производстве строительно-монтажных работ в зимнее время - 3,4% </t>
  </si>
  <si>
    <t xml:space="preserve">Взяла как очистные канализационные сооружения. </t>
  </si>
  <si>
    <t>9.4</t>
  </si>
  <si>
    <t>Итого по главе 9</t>
  </si>
  <si>
    <t>Итого по главам 1-9</t>
  </si>
  <si>
    <t>10.</t>
  </si>
  <si>
    <t>Глава 10.</t>
  </si>
  <si>
    <t>Содержание службы заказчика-застройщика (технического надзора). Строительный контроль.</t>
  </si>
  <si>
    <t>10.1</t>
  </si>
  <si>
    <t xml:space="preserve">МДС 11-15.2001; Приказ Росстроя от 15.02.2005г. №36 </t>
  </si>
  <si>
    <t>Содержание службы технического надзора и строительного контроля</t>
  </si>
  <si>
    <t>Итого по главе 10.</t>
  </si>
  <si>
    <t>Итого по главам 1-10</t>
  </si>
  <si>
    <t>11.</t>
  </si>
  <si>
    <t>Глава 11.</t>
  </si>
  <si>
    <t>Подготовка эксплуатационных кадров</t>
  </si>
  <si>
    <t>Итого по главе 11.</t>
  </si>
  <si>
    <t>Итого по главам 1-11</t>
  </si>
  <si>
    <t>12.</t>
  </si>
  <si>
    <t>Глава 12.</t>
  </si>
  <si>
    <t>Проектные и изыскательские работы, авторский надзор</t>
  </si>
  <si>
    <t>12.1</t>
  </si>
  <si>
    <t>Сборник на инженерно-геологические и инженерно-геодезические изыскания СБЦ ИГИ 2004г. Смета №1.</t>
  </si>
  <si>
    <t>Инженерно-геодезические изыскания</t>
  </si>
  <si>
    <t>К=3,93</t>
  </si>
  <si>
    <t>12.2</t>
  </si>
  <si>
    <t>Сборник на инженерно-геологические и инженерно-экологические изыскания СБЦ ИГИ 1999г. Смета №2.</t>
  </si>
  <si>
    <t>Инженерно-геологические изыскания</t>
  </si>
  <si>
    <t>Уточнить названия сборников, по которым делали расчеты</t>
  </si>
  <si>
    <t>К=44,5</t>
  </si>
  <si>
    <t>12.4</t>
  </si>
  <si>
    <t>Сборник на инженерно-геологические и инженерно-экологические изыскания СБЦ ИГИ 1999г. Смета №4.</t>
  </si>
  <si>
    <t>Инженерно-экологические изыскания</t>
  </si>
  <si>
    <t>12.5</t>
  </si>
  <si>
    <t>Сборник на инженерные изыскания для строительства. Индженерно-гидрографические работы.СБЦ ИГИ 2004г. Смета №5.</t>
  </si>
  <si>
    <t>Инженерно-гидрометеорологические работы</t>
  </si>
  <si>
    <t>12.7</t>
  </si>
  <si>
    <t xml:space="preserve">Справочник разъяснений по применению сборника цен и справочников базовых цен на проектные работы для строительства (вопросы (№21) и ответы). Москва.2010г. </t>
  </si>
  <si>
    <t>Разработка раздела "Оценка воздействия проектируемого объекта на  окружающую среду"</t>
  </si>
  <si>
    <r>
      <t xml:space="preserve"> </t>
    </r>
    <r>
      <rPr>
        <rFont val="Arial Cyr"/>
        <b/>
        <color rgb="FFFF0000"/>
        <sz val="14.0"/>
      </rPr>
      <t>Цифры по Игумново . Других нет.</t>
    </r>
    <r>
      <rPr>
        <rFont val="Arial Cyr"/>
        <color rgb="FFFF0000"/>
        <sz val="10.0"/>
      </rPr>
      <t xml:space="preserve">                                                   Из сметы (расчет стоимости разработки ПД и РД., может быть можно будет поставить отдельной цифрой, сославшись на этот расчет или приложение к контракту.</t>
    </r>
  </si>
  <si>
    <t>12.8</t>
  </si>
  <si>
    <t>Справочник базовых цен на проектные работы в строительстве СБЦ 81-2001-03</t>
  </si>
  <si>
    <t>Разработка проектной и рабочей документации по ликвидации полигона</t>
  </si>
  <si>
    <t>12.9</t>
  </si>
  <si>
    <t>Разработка проектной и рабочей документации по технической рекультивации полигона</t>
  </si>
  <si>
    <t>12.10</t>
  </si>
  <si>
    <t>Разработка проектной и рабочей документации по биологической рекультивации полигона</t>
  </si>
  <si>
    <t>12.11</t>
  </si>
  <si>
    <t>Разработка проектной и рабочей документации на локальные очистные сооружения фильтрата и поверхностных дождевых стоков</t>
  </si>
  <si>
    <t>12.12</t>
  </si>
  <si>
    <t>Разработка проектной и рабочей документации на накопитель дождевых стоков и фильтрата</t>
  </si>
  <si>
    <t>12.13</t>
  </si>
  <si>
    <t>Разработка проектной и рабочей документации на наружное освещение полигона</t>
  </si>
  <si>
    <t>12.14</t>
  </si>
  <si>
    <t>Коммерческое предложение ООО "ТЭКО-строй"</t>
  </si>
  <si>
    <t xml:space="preserve">Проектные работы по разработке модульной станции очистки фильтрата </t>
  </si>
  <si>
    <t>12.15</t>
  </si>
  <si>
    <t>Справочник базовых цен на проектные работы в строительстве</t>
  </si>
  <si>
    <t>Разработка раздела "ИТМ ГО ЧС"</t>
  </si>
  <si>
    <t>12.16</t>
  </si>
  <si>
    <t>Калькуляция трудозатрат №1 по п.6.1 ТЗ(Сборник разъяснений по предпроектной и проектной подготовке строительства. Выпуск №3. ОАО "Центринвестпроект". Москва, 2010г.</t>
  </si>
  <si>
    <t>Сбор исходных данных</t>
  </si>
  <si>
    <t>12.17</t>
  </si>
  <si>
    <t>МДС 81-35.2004; приложение 8, п.12.3 графа 3</t>
  </si>
  <si>
    <t>Авторский надзор</t>
  </si>
  <si>
    <t>12.18</t>
  </si>
  <si>
    <t>Расчет организации</t>
  </si>
  <si>
    <t>Экспертиза проектной документации</t>
  </si>
  <si>
    <t>Итого по главе 12.</t>
  </si>
  <si>
    <t>Итого по главам 1-12</t>
  </si>
  <si>
    <t>13.</t>
  </si>
  <si>
    <t>Письмо Минстроя России от 27.09.2016г. №31523-ХМ/09</t>
  </si>
  <si>
    <t xml:space="preserve">Индексы изменения сметной стоимости строительства на III квартал 2016г. </t>
  </si>
  <si>
    <t>14.</t>
  </si>
  <si>
    <t>МДС 81-35.2004 п.4.96</t>
  </si>
  <si>
    <t>Резерв средств на непредвиденные работы и затраты - 10%</t>
  </si>
  <si>
    <t>15.</t>
  </si>
  <si>
    <t xml:space="preserve">Итого </t>
  </si>
  <si>
    <t>16.</t>
  </si>
  <si>
    <t>НДС 18%</t>
  </si>
  <si>
    <t>17.</t>
  </si>
  <si>
    <t>Итого по сводному сметному расчету</t>
  </si>
  <si>
    <t>18.</t>
  </si>
  <si>
    <t>МДС 81-35.2004; приложение 8, п.1 графа 3 стр.71</t>
  </si>
  <si>
    <t>возвратные суммы</t>
  </si>
  <si>
    <t>Может и не быть</t>
  </si>
  <si>
    <t>Руководитель проектной организации___________________________________________________</t>
  </si>
  <si>
    <t>(подпись (инициалы, фамилия))</t>
  </si>
  <si>
    <t>Главный инженер проекта _____________________________________________________________</t>
  </si>
  <si>
    <t>Начальник _______________________отдела _____________________________________________</t>
  </si>
  <si>
    <t>(наименование)</t>
  </si>
  <si>
    <t>Заказчик   ___________________________________________________________________________</t>
  </si>
  <si>
    <t>(должность, подпись (инициалы, фамилия))</t>
  </si>
  <si>
    <t>Приложение № 1 к Дополнительному соглашению №5 от "31" июля 2018 года к государственному контракту №25/16-ЕП от 25.07.2016 года</t>
  </si>
  <si>
    <t xml:space="preserve">               Расчет цены Контракта</t>
  </si>
  <si>
    <t xml:space="preserve">   РАЗДЕЛ I.  Объект: "Ликвидация объектов накопленного экологического ущерба на территории городского округа город Дзержинск Нижегородской области.                                                                                                                                  Объект №1 . Ликвидация неорганизованной свалки "Черная дыра" промышленных отходов бывшего производства ОАО "Оргстекло"".</t>
  </si>
  <si>
    <t>Составлен в ценах по состоянию на  3 квартал 2017г.</t>
  </si>
  <si>
    <t xml:space="preserve">Номера сметных расчетов, смет </t>
  </si>
  <si>
    <t>Сметная стоимость с ЗУ 3,4% и НДС 18%</t>
  </si>
  <si>
    <t>оборудования</t>
  </si>
  <si>
    <t>с учетом ЗУ 3,4%</t>
  </si>
  <si>
    <t>С учетом 
НДС 18%</t>
  </si>
  <si>
    <t>понижающий коэффициент К</t>
  </si>
  <si>
    <t>ИТОГО</t>
  </si>
  <si>
    <t>10</t>
  </si>
  <si>
    <t>11</t>
  </si>
  <si>
    <t>12</t>
  </si>
  <si>
    <t>1.1</t>
  </si>
  <si>
    <t>Сметный расчет</t>
  </si>
  <si>
    <t>Затраты по разбивке основных осей зданий и   сооружений</t>
  </si>
  <si>
    <t>1.2</t>
  </si>
  <si>
    <t>Договор аренды недвижимого имущества №15082017-экт от 15.08.2017</t>
  </si>
  <si>
    <t>Аренда земельного участка для размещения Участка термического обезвреживания отходов</t>
  </si>
  <si>
    <t>Письмо ООО "Дзержинская оценочная палата"</t>
  </si>
  <si>
    <t>Аренда земельного участка под размещение инженерных коммуникаций</t>
  </si>
  <si>
    <t>Локальная смета № 01-01-01</t>
  </si>
  <si>
    <t>Вырубка деревьев</t>
  </si>
  <si>
    <t>1.5</t>
  </si>
  <si>
    <t>Локальная смета № 01-01-02</t>
  </si>
  <si>
    <t>Демонтаж ограждения</t>
  </si>
  <si>
    <t>1.6</t>
  </si>
  <si>
    <t xml:space="preserve">Расчет </t>
  </si>
  <si>
    <t>Расчет компенсационных выплат за вырубку зеленых насаждений</t>
  </si>
  <si>
    <t>1.7</t>
  </si>
  <si>
    <t xml:space="preserve">Сметный расчет </t>
  </si>
  <si>
    <t>Выполнение археологического охранно-разведывательного обследования</t>
  </si>
  <si>
    <t>Локальная смета № 02-01-01</t>
  </si>
  <si>
    <t>Генеральный план. Участок извлечения отходов с подъездной дорогой.</t>
  </si>
  <si>
    <t>Локальная смета № 02-01-02</t>
  </si>
  <si>
    <t>Генеральный план. Участок термического обезвреживания отходов.</t>
  </si>
  <si>
    <t>Локальная смета № 02-01-03</t>
  </si>
  <si>
    <t>Архитектурные решения. Участок извлечения отходов с подъездной дорогой.</t>
  </si>
  <si>
    <t>Локальная смета № 02-01-04</t>
  </si>
  <si>
    <t>Архитектурные решения. Участок термического  обезвреживания отходов</t>
  </si>
  <si>
    <t>2.5</t>
  </si>
  <si>
    <t>Локальная смета № 02-01-05</t>
  </si>
  <si>
    <t>Конструкции железобетонные. Участок извлечения отходов с подъездной дорогой.</t>
  </si>
  <si>
    <t>2.6</t>
  </si>
  <si>
    <t>Локальная смета № 02-01-06</t>
  </si>
  <si>
    <t>Конструкции железобетонные. Участок термического обезвреживания отходов.</t>
  </si>
  <si>
    <t>2.7</t>
  </si>
  <si>
    <t>Локальная смета № 02-01-07</t>
  </si>
  <si>
    <t>Конструкции металлические. Участок извлечения отходов с подъездной дорогой</t>
  </si>
  <si>
    <t>2.8</t>
  </si>
  <si>
    <t>Локальная смета № 02-01-08
Локальная смета № 02-01-09
Локальная смета № 02-01-10</t>
  </si>
  <si>
    <t xml:space="preserve">Конструкции металлические. Участок термического обезвреживаия отходов 
</t>
  </si>
  <si>
    <t>2.9</t>
  </si>
  <si>
    <t xml:space="preserve">Локальная смета № 02-01-11
Локальная смета № 02-01-12
Локальная смета № 02-01-13
Локальная смета № 02-01-14
Локальная смета № 02-01-15
</t>
  </si>
  <si>
    <t xml:space="preserve">Внутрение системы ВиК, отопление, вентиляция, кондиционирование, газоснабжение, электроснабжение. Участок термического обезвреживания отходов
</t>
  </si>
  <si>
    <t>2.10</t>
  </si>
  <si>
    <t>Локальная смета № 02-01-16</t>
  </si>
  <si>
    <t>Технологические решения. Участок извлечения отходов с подъездной дорогой</t>
  </si>
  <si>
    <t>2.11</t>
  </si>
  <si>
    <t>Локальная смета № 02-01-17</t>
  </si>
  <si>
    <t xml:space="preserve">Технологические решения. Участок термического обезвреживания отходов </t>
  </si>
  <si>
    <t>2.12</t>
  </si>
  <si>
    <t>Локальная смета № 02-01-18</t>
  </si>
  <si>
    <t>Демонтаж технологического оборудования</t>
  </si>
  <si>
    <t>2.13</t>
  </si>
  <si>
    <t>Локальная смета № 02-01-19</t>
  </si>
  <si>
    <t>Мероприятия по рекультивации участка</t>
  </si>
  <si>
    <t>2.14</t>
  </si>
  <si>
    <t>Локальная смета № 02-01-20</t>
  </si>
  <si>
    <t>Противокарстовые мероприятия</t>
  </si>
  <si>
    <t>2.15</t>
  </si>
  <si>
    <t>Локальная смета № 02-01-21
Локальная смета № 4</t>
  </si>
  <si>
    <t>Сети связи   АБК, Участок извлечения отходов</t>
  </si>
  <si>
    <t>2.16</t>
  </si>
  <si>
    <t xml:space="preserve">
Локальная смета № 02-01-22
Локальная смета № 02-01-23
Локальная смета № 02-01-24
</t>
  </si>
  <si>
    <t xml:space="preserve">Система автоматической установки ПС,мониторинга контроля выбросов, управления доступом. 
</t>
  </si>
  <si>
    <t>2,17</t>
  </si>
  <si>
    <t xml:space="preserve">Локальная смета № 02-01-25
Локальная смета № 02-01-26
Локальная смета № 02-01-27
Локальная смета № 3
</t>
  </si>
  <si>
    <t xml:space="preserve">Внутриплощадочные ЛВС,автоматизированная система ВиК, автоматизация теплогенераторной АБК,система загазованности.
</t>
  </si>
  <si>
    <t>2,18</t>
  </si>
  <si>
    <t>Локальная смета № 02-01-29</t>
  </si>
  <si>
    <t>Автоматизированная система управления технологическими процессами</t>
  </si>
  <si>
    <t>3.1</t>
  </si>
  <si>
    <t>Локальная смета № 04-01-01</t>
  </si>
  <si>
    <t>Наружные сети электроснабжения.</t>
  </si>
  <si>
    <t>4.2</t>
  </si>
  <si>
    <t>Локальная смета № 04-01-02</t>
  </si>
  <si>
    <t>Внутриплощадочные сети электроснабжения</t>
  </si>
  <si>
    <t>4.3</t>
  </si>
  <si>
    <t>Локальная смета № 04-01-03</t>
  </si>
  <si>
    <t>Аварийное электроснабжение</t>
  </si>
  <si>
    <t>4.4</t>
  </si>
  <si>
    <t>Локальная смета № 04-01-04</t>
  </si>
  <si>
    <t>Наружное электроосвещение</t>
  </si>
  <si>
    <t>Локальная смета № 06-01-01</t>
  </si>
  <si>
    <t>Внутриплощадочные сети водоснабжения.Участок термического обезвреживания отходов</t>
  </si>
  <si>
    <t>6.2</t>
  </si>
  <si>
    <t>Локальная смета № 06-01-02</t>
  </si>
  <si>
    <t>Внутриплощадочные сети канализации</t>
  </si>
  <si>
    <t>6.3</t>
  </si>
  <si>
    <t>Локальная смета № 06-01-03</t>
  </si>
  <si>
    <t>Наружные сети водоснабжения</t>
  </si>
  <si>
    <t>6.4</t>
  </si>
  <si>
    <t>Локальная смета № 06-01-04</t>
  </si>
  <si>
    <t>Тепломеханические решения тепловых сетей</t>
  </si>
  <si>
    <t>6.5</t>
  </si>
  <si>
    <t>Локальная смета № 06-01-05</t>
  </si>
  <si>
    <t>Наружные внутриплощадочные газопроводы. Газоснабжение технологического оборудования</t>
  </si>
  <si>
    <t>Локальная смета № 08-01-01</t>
  </si>
  <si>
    <t>Договор о подключении объекта№505ИП/17 от 18.05.2017</t>
  </si>
  <si>
    <t>Технологическое присоединение к  сетям газораспределения</t>
  </si>
  <si>
    <t>Договор об осуществлении технологического присоединения к электрическим сетям №ТП-№3/ДОС от 30.05.2017</t>
  </si>
  <si>
    <t>Технологическое присоединение к  сетям электроснабжения</t>
  </si>
  <si>
    <t>9.3</t>
  </si>
  <si>
    <t>Расчет</t>
  </si>
  <si>
    <t>Плата за загрязнение окружающей среды</t>
  </si>
  <si>
    <t>Геотехнический мониторинг</t>
  </si>
  <si>
    <t>9.5</t>
  </si>
  <si>
    <t>Арендная плата за часть дороги</t>
  </si>
  <si>
    <t>9.6</t>
  </si>
  <si>
    <t>Письмо №907 от15.09.2017 АО"ДОС"</t>
  </si>
  <si>
    <t>Арендная плата за участок забора</t>
  </si>
  <si>
    <t>9.7</t>
  </si>
  <si>
    <t>ГСН81-05-02-2007                                                 Приложение №1 п.52,                                   Таблица 4 пп 13.5.5</t>
  </si>
  <si>
    <t xml:space="preserve">Дополнительные затраты при производстве СМР в зимнее время - 3,4% </t>
  </si>
  <si>
    <t>9.8</t>
  </si>
  <si>
    <t>Локальная смета № 09-01-01</t>
  </si>
  <si>
    <t>Пусконаладочные работы</t>
  </si>
  <si>
    <t>9.9</t>
  </si>
  <si>
    <t>Локальная смета № 09-01-02</t>
  </si>
  <si>
    <t>Пусконаладочные работы. Технологическое оборудование</t>
  </si>
  <si>
    <t>Содержание службы заказчика-застройщика (технического надзора) строящегося предприятия</t>
  </si>
  <si>
    <t>распоряжение Правительства НО от 22 октября 2010 года № 2231-р.</t>
  </si>
  <si>
    <t>11.1</t>
  </si>
  <si>
    <t>Договор</t>
  </si>
  <si>
    <t>Разработка ПИР</t>
  </si>
  <si>
    <t xml:space="preserve">МДС 81-35.2004, п.4.91 </t>
  </si>
  <si>
    <t>Авторский надзор, 0,2%</t>
  </si>
  <si>
    <t>12.3</t>
  </si>
  <si>
    <t>Счет от ФАУ Главгосэкспертиза</t>
  </si>
  <si>
    <t>Государственная экспертиза проектной документации и результатов инженерных изысканий</t>
  </si>
  <si>
    <t xml:space="preserve">Счет </t>
  </si>
  <si>
    <t xml:space="preserve">Государственная экологическая экспертиза </t>
  </si>
  <si>
    <t>Резерв средств на непредвиденные работы и затраты -2%</t>
  </si>
  <si>
    <t>Итого с резервом</t>
  </si>
  <si>
    <t>Средства на покрытие затрат по уплате НДС 18%</t>
  </si>
  <si>
    <t>Итого по разделу I  "Черная дыра"</t>
  </si>
  <si>
    <t>калькуляция затрат на апробацию оборудования (заключение №01674-пир/17)</t>
  </si>
  <si>
    <t>Апробация комплекса оборудования установки ГЭС ЭТ-7500 на пробной партии отходов</t>
  </si>
  <si>
    <t>19.</t>
  </si>
  <si>
    <t>сметный расчет стоимости термолизного обезвреживания (заключение №01674-пир/17)</t>
  </si>
  <si>
    <t>Термолизное обезвреживание отходов</t>
  </si>
  <si>
    <t>20.</t>
  </si>
  <si>
    <t>расчет стоимости разработки конструкторской документации (заключение №01673-пир/17)</t>
  </si>
  <si>
    <t xml:space="preserve">Разработка конструкторской документации (КД) </t>
  </si>
  <si>
    <t xml:space="preserve">Итого: </t>
  </si>
  <si>
    <t>Всего по разделу I "Черная дыра"</t>
  </si>
  <si>
    <t xml:space="preserve">     РАЗДЕЛ II.  Объект: "Ликвидация объектов накопленного экологического ущерба на территории городского округа город Дзержинск Нижегородской области                                                                                                                                       Объект № 2.  Ликвидащия  (консервация) шламонакопителя "Белое море" на территории завода "Капролактам"".</t>
  </si>
  <si>
    <t>С учетом зимних 3,4%</t>
  </si>
  <si>
    <t>Демонтажные работы</t>
  </si>
  <si>
    <t>Генеральный план</t>
  </si>
  <si>
    <t>Конструкции металлические</t>
  </si>
  <si>
    <t>Погрузочно-разгрузочные работы при перемещении материалов с промежуточного склада</t>
  </si>
  <si>
    <t>КП от ООО "Старатель"</t>
  </si>
  <si>
    <t>Опорожнение пруда отстойника</t>
  </si>
  <si>
    <t>Проект организации строительства</t>
  </si>
  <si>
    <t>8.2</t>
  </si>
  <si>
    <t>Локальная смета № 08-01-02</t>
  </si>
  <si>
    <t>Электроснабжение</t>
  </si>
  <si>
    <t>8.3</t>
  </si>
  <si>
    <t>Локальная смета № 08-01-03</t>
  </si>
  <si>
    <t>Мероприятия по обеспечению антитеррористической защищенности объекта</t>
  </si>
  <si>
    <t>Договор №КЭ 86/16-Д-Э от 02.11.2016</t>
  </si>
  <si>
    <t>Техническое присоединение к электрическим сетям</t>
  </si>
  <si>
    <t>ГСН 81-05-02-2007                                                 Прил. №1 п.52,Таблица 4 пп 13.5.5</t>
  </si>
  <si>
    <t xml:space="preserve">Дополнительные затраты при производстве строительно-монтажных работ в зимнее время-3,4% </t>
  </si>
  <si>
    <t xml:space="preserve">Распоряжение Правительства Нижегородской области от 22 октября 2010 года № 2231-р </t>
  </si>
  <si>
    <t>Заключение ГБУ "Нижегородсмета"</t>
  </si>
  <si>
    <t>Расчет, основан Постановление правительства РФ №145 от 05.03.2007</t>
  </si>
  <si>
    <t>Государственная экспертиза проектной документации и результатов инженерных изысканий 1413,48+335,54=1749,02 с НДС</t>
  </si>
  <si>
    <t>Государственная экологическая экспертиза</t>
  </si>
  <si>
    <t>МДС 81-35.2004 п.4.91</t>
  </si>
  <si>
    <t xml:space="preserve">Итого по разделу II </t>
  </si>
  <si>
    <t>Всего по разделу II "Белое море"</t>
  </si>
  <si>
    <t xml:space="preserve">  РАЗДЕЛ III. Объект: "Ликвидация объектов накопленного экологического ущерба на территории городского округа город Дзержинск Нижегородской области.                               </t>
  </si>
  <si>
    <t xml:space="preserve">   Объект №3  Ликвидация (рекультивация) полигона твердых бытовых отходов "Игумново"".</t>
  </si>
  <si>
    <t>Локальная смета №01-01-01</t>
  </si>
  <si>
    <t>Компенсационные выплаты</t>
  </si>
  <si>
    <t>Локальная смета №02-01-01</t>
  </si>
  <si>
    <t>Локальная смета №02-01-02</t>
  </si>
  <si>
    <t>Конструкции железобетонные</t>
  </si>
  <si>
    <t>Локальная смета №02-01-03</t>
  </si>
  <si>
    <t>Локальная смета №02-01-04</t>
  </si>
  <si>
    <t>Локальная смета №02-01-05</t>
  </si>
  <si>
    <t>Наружные сети и сооружения водоснабжения, канализации</t>
  </si>
  <si>
    <t>Локальная смета №02-01-06</t>
  </si>
  <si>
    <t>Производственная связь</t>
  </si>
  <si>
    <t>Локальная смета №02-01-07</t>
  </si>
  <si>
    <t>Газосборная система. Полигон "Игумново"</t>
  </si>
  <si>
    <t>Локальная смета №02-01-08</t>
  </si>
  <si>
    <t>Локальная смета №02-01-09</t>
  </si>
  <si>
    <t>Локальная смета №02-01-10</t>
  </si>
  <si>
    <t>Погрузо-разгрузочные работы</t>
  </si>
  <si>
    <t>Наружные внеплощадочные сети канализациисети</t>
  </si>
  <si>
    <t>Локальная смета №01-01-02</t>
  </si>
  <si>
    <t>Монтаж локальных очистных сооружений</t>
  </si>
  <si>
    <t>Постановление Госстроя России №45 от 07.05.2001  п.5.9</t>
  </si>
  <si>
    <t>Локальная смета №08-01-01</t>
  </si>
  <si>
    <t>Локальная смета №08-01-02</t>
  </si>
  <si>
    <t>Локальная смета №08-01-03</t>
  </si>
  <si>
    <t>Система наружного видеонаблюдения</t>
  </si>
  <si>
    <t xml:space="preserve"> Распоряжение Правительства Нижегородской области от 22 октября 2010 года № 2231-р  </t>
  </si>
  <si>
    <t>Счет</t>
  </si>
  <si>
    <t>МДС 81-35.2004 п. 4.91</t>
  </si>
  <si>
    <t>Резерв средств на непредвиденные работы и затраты - 2%</t>
  </si>
  <si>
    <t>Итого по разделу III</t>
  </si>
  <si>
    <t>Всего по разделу III  полигон ТБО "Игумново"</t>
  </si>
  <si>
    <t>Всего по разделам I - III</t>
  </si>
  <si>
    <t>Заказчик ГБУ НО "Экология региона"</t>
  </si>
  <si>
    <t>Подрядчик ООО "ГЭС-Экотехнологии"</t>
  </si>
  <si>
    <t>Директор</t>
  </si>
  <si>
    <t>Генеральный директор</t>
  </si>
  <si>
    <t>____________________/А.О. Шелагин</t>
  </si>
  <si>
    <t>____________________/В.В. Меркулов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</si>
</sst>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#,##0.000"/>
    <numFmt numFmtId="165" formatCode="0.000"/>
    <numFmt numFmtId="166" formatCode="#,##0.00;[Red]\-\ #,##0.00"/>
    <numFmt numFmtId="167" formatCode="_-* #,##0.00\ _₽_-;\-* #,##0.00\ _₽_-;_-* &quot;-&quot;??\ _₽_-;_-@"/>
    <numFmt numFmtId="168" formatCode="#,##0.00000"/>
    <numFmt numFmtId="169" formatCode="0.000000000000"/>
    <numFmt numFmtId="170" formatCode="#,##0.000000000"/>
    <numFmt numFmtId="171" formatCode="0.00000000000"/>
  </numFmts>
  <fonts count="40">
    <font>
      <sz val="10.0"/>
      <color rgb="FF000000"/>
      <name val="Arimo"/>
    </font>
    <font>
      <sz val="10.0"/>
      <name val="Arimo"/>
    </font>
    <font>
      <sz val="10.0"/>
      <color rgb="FFFF0000"/>
      <name val="Arimo"/>
    </font>
    <font>
      <sz val="10.0"/>
      <color rgb="FF800000"/>
      <name val="Arimo"/>
    </font>
    <font>
      <b/>
      <sz val="12.0"/>
      <name val="Arimo"/>
    </font>
    <font>
      <b/>
      <sz val="12.0"/>
      <color rgb="FFFF0000"/>
      <name val="Arimo"/>
    </font>
    <font>
      <b/>
      <sz val="12.0"/>
      <color rgb="FF800000"/>
      <name val="Arimo"/>
    </font>
    <font>
      <sz val="12.0"/>
      <name val="Arimo"/>
    </font>
    <font>
      <sz val="12.0"/>
      <color rgb="FFFF0000"/>
      <name val="Arimo"/>
    </font>
    <font>
      <sz val="12.0"/>
      <color rgb="FF800000"/>
      <name val="Arimo"/>
    </font>
    <font>
      <b/>
      <sz val="14.0"/>
      <name val="Arimo"/>
    </font>
    <font>
      <sz val="14.0"/>
      <name val="Arimo"/>
    </font>
    <font>
      <b/>
      <u/>
      <sz val="11.0"/>
      <name val="Arimo"/>
    </font>
    <font>
      <b/>
      <u/>
      <sz val="12.0"/>
      <name val="Arimo"/>
    </font>
    <font>
      <sz val="11.0"/>
      <name val="Arimo"/>
    </font>
    <font>
      <u/>
      <sz val="10.0"/>
      <name val="Arimo"/>
    </font>
    <font>
      <b/>
      <u/>
      <sz val="10.0"/>
      <name val="Arimo"/>
    </font>
    <font/>
    <font>
      <b/>
      <sz val="10.0"/>
      <name val="Arimo"/>
    </font>
    <font>
      <b/>
      <sz val="10.0"/>
      <color rgb="FFFF0000"/>
      <name val="Arimo"/>
    </font>
    <font>
      <b/>
      <sz val="10.0"/>
      <color rgb="FF800000"/>
      <name val="Arimo"/>
    </font>
    <font>
      <b/>
      <sz val="11.0"/>
      <name val="Arimo"/>
    </font>
    <font>
      <b/>
      <sz val="9.0"/>
      <name val="Arimo"/>
    </font>
    <font>
      <sz val="9.0"/>
      <color rgb="FFFF0000"/>
      <name val="Arimo"/>
    </font>
    <font>
      <sz val="9.0"/>
      <color rgb="FF800000"/>
      <name val="Arimo"/>
    </font>
    <font>
      <sz val="8.0"/>
      <name val="Arimo"/>
    </font>
    <font>
      <sz val="9.0"/>
      <name val="Arimo"/>
    </font>
    <font>
      <sz val="11.0"/>
      <color rgb="FFFF0000"/>
      <name val="Arimo"/>
    </font>
    <font>
      <sz val="11.0"/>
      <color rgb="FF800000"/>
      <name val="Arimo"/>
    </font>
    <font>
      <b/>
      <sz val="11.0"/>
      <name val="Times New Roman"/>
    </font>
    <font>
      <sz val="10.0"/>
      <name val="Times New Roman"/>
    </font>
    <font>
      <b/>
      <sz val="14.0"/>
      <name val="Times New Roman"/>
    </font>
    <font>
      <b/>
      <sz val="10.0"/>
      <name val="Times New Roman"/>
    </font>
    <font>
      <sz val="9.0"/>
      <name val="Times New Roman"/>
    </font>
    <font>
      <i/>
      <sz val="10.0"/>
      <name val="Times New Roman"/>
    </font>
    <font>
      <i/>
      <sz val="9.0"/>
      <name val="Times New Roman"/>
    </font>
    <font>
      <i/>
      <sz val="10.0"/>
      <name val="Arimo"/>
    </font>
    <font>
      <b/>
      <sz val="9.0"/>
      <name val="Times New Roman"/>
    </font>
    <font>
      <b/>
      <i/>
      <sz val="10.0"/>
      <name val="Times New Roman"/>
    </font>
    <font>
      <sz val="12.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EEECE1"/>
        <bgColor rgb="FFEEECE1"/>
      </patternFill>
    </fill>
  </fills>
  <borders count="21">
    <border/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2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12" numFmtId="164" xfId="0" applyAlignment="1" applyFont="1" applyNumberFormat="1">
      <alignment shrinkToFit="0" vertical="bottom" wrapText="0"/>
    </xf>
    <xf borderId="0" fillId="0" fontId="4" numFmtId="0" xfId="0" applyAlignment="1" applyFont="1">
      <alignment horizontal="right" shrinkToFit="0" vertical="bottom" wrapText="0"/>
    </xf>
    <xf borderId="0" fillId="0" fontId="13" numFmtId="164" xfId="0" applyAlignment="1" applyFont="1" applyNumberFormat="1">
      <alignment shrinkToFit="0" vertical="bottom" wrapText="0"/>
    </xf>
    <xf borderId="0" fillId="0" fontId="14" numFmtId="0" xfId="0" applyAlignment="1" applyFont="1">
      <alignment shrinkToFit="0" vertical="bottom" wrapText="0"/>
    </xf>
    <xf borderId="0" fillId="0" fontId="15" numFmtId="165" xfId="0" applyAlignment="1" applyFont="1" applyNumberFormat="1">
      <alignment shrinkToFit="0" vertical="bottom" wrapText="0"/>
    </xf>
    <xf borderId="0" fillId="0" fontId="7" numFmtId="0" xfId="0" applyAlignment="1" applyFont="1">
      <alignment horizontal="right" shrinkToFit="0" vertical="bottom" wrapText="0"/>
    </xf>
    <xf borderId="1" fillId="0" fontId="16" numFmtId="0" xfId="0" applyAlignment="1" applyBorder="1" applyFont="1">
      <alignment shrinkToFit="0" vertical="bottom" wrapText="0"/>
    </xf>
    <xf borderId="1" fillId="0" fontId="17" numFmtId="0" xfId="0" applyBorder="1" applyFont="1"/>
    <xf borderId="2" fillId="0" fontId="1" numFmtId="0" xfId="0" applyAlignment="1" applyBorder="1" applyFont="1">
      <alignment horizontal="center" shrinkToFit="0" vertical="bottom" wrapText="0"/>
    </xf>
    <xf borderId="2" fillId="0" fontId="17" numFmtId="0" xfId="0" applyBorder="1" applyFont="1"/>
    <xf borderId="0" fillId="0" fontId="18" numFmtId="0" xfId="0" applyAlignment="1" applyFont="1">
      <alignment shrinkToFit="0" vertical="bottom" wrapText="0"/>
    </xf>
    <xf borderId="0" fillId="0" fontId="19" numFmtId="0" xfId="0" applyAlignment="1" applyFont="1">
      <alignment shrinkToFit="0" vertical="bottom" wrapText="0"/>
    </xf>
    <xf borderId="0" fillId="0" fontId="20" numFmtId="0" xfId="0" applyAlignment="1" applyFont="1">
      <alignment shrinkToFit="0" vertical="bottom" wrapText="0"/>
    </xf>
    <xf borderId="0" fillId="0" fontId="10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21" numFmtId="0" xfId="0" applyAlignment="1" applyFont="1">
      <alignment shrinkToFit="0" vertical="bottom" wrapText="0"/>
    </xf>
    <xf borderId="0" fillId="0" fontId="22" numFmtId="0" xfId="0" applyAlignment="1" applyFont="1">
      <alignment shrinkToFit="0" vertical="bottom" wrapText="0"/>
    </xf>
    <xf borderId="0" fillId="0" fontId="23" numFmtId="0" xfId="0" applyAlignment="1" applyFont="1">
      <alignment shrinkToFit="0" vertical="bottom" wrapText="0"/>
    </xf>
    <xf borderId="0" fillId="0" fontId="24" numFmtId="0" xfId="0" applyAlignment="1" applyFont="1">
      <alignment shrinkToFit="0" vertical="bottom" wrapText="0"/>
    </xf>
    <xf borderId="3" fillId="0" fontId="21" numFmtId="0" xfId="0" applyAlignment="1" applyBorder="1" applyFont="1">
      <alignment horizontal="center" shrinkToFit="0" vertical="center" wrapText="1"/>
    </xf>
    <xf borderId="4" fillId="0" fontId="21" numFmtId="0" xfId="0" applyAlignment="1" applyBorder="1" applyFont="1">
      <alignment horizontal="center" shrinkToFit="0" vertical="center" wrapText="0"/>
    </xf>
    <xf borderId="5" fillId="0" fontId="17" numFmtId="0" xfId="0" applyBorder="1" applyFont="1"/>
    <xf borderId="6" fillId="0" fontId="17" numFmtId="0" xfId="0" applyBorder="1" applyFont="1"/>
    <xf borderId="7" fillId="0" fontId="17" numFmtId="0" xfId="0" applyBorder="1" applyFont="1"/>
    <xf borderId="8" fillId="0" fontId="2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bottom" wrapText="0"/>
    </xf>
    <xf borderId="8" fillId="0" fontId="25" numFmtId="0" xfId="0" applyAlignment="1" applyBorder="1" applyFont="1">
      <alignment horizontal="center" shrinkToFit="0" vertical="bottom" wrapText="0"/>
    </xf>
    <xf borderId="8" fillId="0" fontId="7" numFmtId="0" xfId="0" applyAlignment="1" applyBorder="1" applyFont="1">
      <alignment shrinkToFit="0" vertical="bottom" wrapText="0"/>
    </xf>
    <xf borderId="8" fillId="0" fontId="4" numFmtId="0" xfId="0" applyAlignment="1" applyBorder="1" applyFont="1">
      <alignment horizontal="center" shrinkToFit="0" vertical="bottom" wrapText="0"/>
    </xf>
    <xf borderId="8" fillId="0" fontId="4" numFmtId="0" xfId="0" applyAlignment="1" applyBorder="1" applyFont="1">
      <alignment horizontal="center" shrinkToFit="0" vertical="bottom" wrapText="1"/>
    </xf>
    <xf borderId="9" fillId="0" fontId="2" numFmtId="0" xfId="0" applyAlignment="1" applyBorder="1" applyFont="1">
      <alignment shrinkToFit="0" vertical="center" wrapText="1"/>
    </xf>
    <xf borderId="8" fillId="0" fontId="26" numFmtId="49" xfId="0" applyAlignment="1" applyBorder="1" applyFont="1" applyNumberFormat="1">
      <alignment shrinkToFit="0" vertical="bottom" wrapText="0"/>
    </xf>
    <xf borderId="8" fillId="0" fontId="14" numFmtId="0" xfId="0" applyAlignment="1" applyBorder="1" applyFont="1">
      <alignment shrinkToFit="0" vertical="bottom" wrapText="1"/>
    </xf>
    <xf borderId="8" fillId="0" fontId="14" numFmtId="0" xfId="0" applyAlignment="1" applyBorder="1" applyFont="1">
      <alignment horizontal="left" shrinkToFit="0" vertical="bottom" wrapText="1"/>
    </xf>
    <xf borderId="8" fillId="0" fontId="14" numFmtId="4" xfId="0" applyAlignment="1" applyBorder="1" applyFont="1" applyNumberFormat="1">
      <alignment shrinkToFit="0" vertical="bottom" wrapText="0"/>
    </xf>
    <xf borderId="8" fillId="0" fontId="14" numFmtId="164" xfId="0" applyAlignment="1" applyBorder="1" applyFont="1" applyNumberFormat="1">
      <alignment shrinkToFit="0" vertical="bottom" wrapText="0"/>
    </xf>
    <xf borderId="9" fillId="0" fontId="17" numFmtId="0" xfId="0" applyBorder="1" applyFont="1"/>
    <xf borderId="8" fillId="0" fontId="4" numFmtId="4" xfId="0" applyAlignment="1" applyBorder="1" applyFont="1" applyNumberFormat="1">
      <alignment shrinkToFit="0" vertical="bottom" wrapText="0"/>
    </xf>
    <xf borderId="8" fillId="0" fontId="7" numFmtId="4" xfId="0" applyAlignment="1" applyBorder="1" applyFont="1" applyNumberFormat="1">
      <alignment shrinkToFit="0" vertical="bottom" wrapText="0"/>
    </xf>
    <xf borderId="8" fillId="2" fontId="14" numFmtId="0" xfId="0" applyAlignment="1" applyBorder="1" applyFill="1" applyFont="1">
      <alignment shrinkToFit="0" vertical="center" wrapText="1"/>
    </xf>
    <xf borderId="8" fillId="0" fontId="1" numFmtId="0" xfId="0" applyAlignment="1" applyBorder="1" applyFont="1">
      <alignment shrinkToFit="0" vertical="bottom" wrapText="0"/>
    </xf>
    <xf borderId="8" fillId="0" fontId="18" numFmtId="0" xfId="0" applyAlignment="1" applyBorder="1" applyFont="1">
      <alignment horizontal="center" shrinkToFit="0" vertical="bottom" wrapText="1"/>
    </xf>
    <xf borderId="8" fillId="0" fontId="14" numFmtId="0" xfId="0" applyAlignment="1" applyBorder="1" applyFont="1">
      <alignment horizontal="left" shrinkToFit="0" vertical="bottom" wrapText="0"/>
    </xf>
    <xf borderId="8" fillId="0" fontId="7" numFmtId="2" xfId="0" applyAlignment="1" applyBorder="1" applyFont="1" applyNumberFormat="1">
      <alignment shrinkToFit="0" vertical="bottom" wrapText="0"/>
    </xf>
    <xf borderId="8" fillId="0" fontId="4" numFmtId="2" xfId="0" applyAlignment="1" applyBorder="1" applyFont="1" applyNumberFormat="1">
      <alignment shrinkToFit="0" vertical="bottom" wrapText="0"/>
    </xf>
    <xf borderId="8" fillId="0" fontId="14" numFmtId="0" xfId="0" applyAlignment="1" applyBorder="1" applyFont="1">
      <alignment shrinkToFit="0" vertical="bottom" wrapText="0"/>
    </xf>
    <xf borderId="8" fillId="0" fontId="21" numFmtId="0" xfId="0" applyAlignment="1" applyBorder="1" applyFont="1">
      <alignment horizontal="center" shrinkToFit="0" vertical="bottom" wrapText="1"/>
    </xf>
    <xf borderId="0" fillId="0" fontId="27" numFmtId="0" xfId="0" applyAlignment="1" applyFont="1">
      <alignment shrinkToFit="0" vertical="bottom" wrapText="0"/>
    </xf>
    <xf borderId="0" fillId="0" fontId="28" numFmtId="0" xfId="0" applyAlignment="1" applyFont="1">
      <alignment shrinkToFit="0" vertical="bottom" wrapText="0"/>
    </xf>
    <xf borderId="8" fillId="0" fontId="1" numFmtId="0" xfId="0" applyAlignment="1" applyBorder="1" applyFont="1">
      <alignment horizontal="center" shrinkToFit="0" vertical="bottom" wrapText="1"/>
    </xf>
    <xf borderId="8" fillId="0" fontId="7" numFmtId="0" xfId="0" applyAlignment="1" applyBorder="1" applyFont="1">
      <alignment horizontal="left" shrinkToFit="0" vertical="bottom" wrapText="1"/>
    </xf>
    <xf borderId="8" fillId="0" fontId="7" numFmtId="164" xfId="0" applyAlignment="1" applyBorder="1" applyFont="1" applyNumberFormat="1">
      <alignment shrinkToFit="0" vertical="bottom" wrapText="0"/>
    </xf>
    <xf borderId="8" fillId="0" fontId="21" numFmtId="4" xfId="0" applyAlignment="1" applyBorder="1" applyFont="1" applyNumberFormat="1">
      <alignment shrinkToFit="0" vertical="bottom" wrapText="0"/>
    </xf>
    <xf borderId="8" fillId="0" fontId="21" numFmtId="2" xfId="0" applyAlignment="1" applyBorder="1" applyFont="1" applyNumberFormat="1">
      <alignment shrinkToFit="0" vertical="bottom" wrapText="0"/>
    </xf>
    <xf borderId="0" fillId="0" fontId="2" numFmtId="0" xfId="0" applyAlignment="1" applyFont="1">
      <alignment shrinkToFit="0" vertical="bottom" wrapText="1"/>
    </xf>
    <xf borderId="8" fillId="0" fontId="7" numFmtId="0" xfId="0" applyAlignment="1" applyBorder="1" applyFont="1">
      <alignment horizontal="left" shrinkToFit="0" vertical="bottom" wrapText="0"/>
    </xf>
    <xf borderId="10" fillId="0" fontId="29" numFmtId="0" xfId="0" applyAlignment="1" applyBorder="1" applyFont="1">
      <alignment shrinkToFit="0" vertical="top" wrapText="1"/>
    </xf>
    <xf borderId="11" fillId="0" fontId="29" numFmtId="0" xfId="0" applyAlignment="1" applyBorder="1" applyFont="1">
      <alignment shrinkToFit="0" vertical="top" wrapText="1"/>
    </xf>
    <xf borderId="7" fillId="0" fontId="14" numFmtId="0" xfId="0" applyAlignment="1" applyBorder="1" applyFont="1">
      <alignment horizontal="left" shrinkToFit="0" vertical="center" wrapText="1"/>
    </xf>
    <xf borderId="7" fillId="0" fontId="14" numFmtId="164" xfId="0" applyAlignment="1" applyBorder="1" applyFont="1" applyNumberFormat="1">
      <alignment shrinkToFit="0" vertical="bottom" wrapText="0"/>
    </xf>
    <xf borderId="7" fillId="0" fontId="4" numFmtId="4" xfId="0" applyAlignment="1" applyBorder="1" applyFont="1" applyNumberFormat="1">
      <alignment shrinkToFit="0" vertical="bottom" wrapText="0"/>
    </xf>
    <xf borderId="7" fillId="0" fontId="29" numFmtId="0" xfId="0" applyAlignment="1" applyBorder="1" applyFont="1">
      <alignment shrinkToFit="0" vertical="top" wrapText="1"/>
    </xf>
    <xf borderId="8" fillId="0" fontId="26" numFmtId="0" xfId="0" applyAlignment="1" applyBorder="1" applyFont="1">
      <alignment horizontal="left" shrinkToFit="0" vertical="bottom" wrapText="1"/>
    </xf>
    <xf borderId="8" fillId="0" fontId="14" numFmtId="0" xfId="0" applyAlignment="1" applyBorder="1" applyFont="1">
      <alignment horizontal="center" shrinkToFit="0" vertical="bottom" wrapText="1"/>
    </xf>
    <xf borderId="8" fillId="0" fontId="14" numFmtId="9" xfId="0" applyAlignment="1" applyBorder="1" applyFont="1" applyNumberFormat="1">
      <alignment horizontal="left" shrinkToFit="0" vertical="bottom" wrapText="1"/>
    </xf>
    <xf borderId="8" fillId="0" fontId="14" numFmtId="2" xfId="0" applyAlignment="1" applyBorder="1" applyFont="1" applyNumberFormat="1">
      <alignment shrinkToFit="0" vertical="bottom" wrapText="0"/>
    </xf>
    <xf borderId="8" fillId="0" fontId="25" numFmtId="0" xfId="0" applyAlignment="1" applyBorder="1" applyFont="1">
      <alignment shrinkToFit="0" vertical="bottom" wrapText="1"/>
    </xf>
    <xf borderId="8" fillId="0" fontId="1" numFmtId="164" xfId="0" applyAlignment="1" applyBorder="1" applyFont="1" applyNumberFormat="1">
      <alignment shrinkToFit="0" vertical="bottom" wrapText="0"/>
    </xf>
    <xf borderId="8" fillId="2" fontId="25" numFmtId="0" xfId="0" applyAlignment="1" applyBorder="1" applyFont="1">
      <alignment shrinkToFit="0" vertical="bottom" wrapText="1"/>
    </xf>
    <xf borderId="9" fillId="0" fontId="2" numFmtId="0" xfId="0" applyAlignment="1" applyBorder="1" applyFont="1">
      <alignment horizontal="center" shrinkToFit="0" vertical="center" wrapText="1"/>
    </xf>
    <xf borderId="8" fillId="2" fontId="26" numFmtId="0" xfId="0" applyAlignment="1" applyBorder="1" applyFont="1">
      <alignment shrinkToFit="0" vertical="bottom" wrapText="1"/>
    </xf>
    <xf borderId="8" fillId="2" fontId="14" numFmtId="0" xfId="0" applyAlignment="1" applyBorder="1" applyFont="1">
      <alignment shrinkToFit="0" vertical="bottom" wrapText="1"/>
    </xf>
    <xf borderId="8" fillId="0" fontId="7" numFmtId="0" xfId="0" applyAlignment="1" applyBorder="1" applyFont="1">
      <alignment shrinkToFit="0" vertical="bottom" wrapText="1"/>
    </xf>
    <xf borderId="8" fillId="0" fontId="7" numFmtId="0" xfId="0" applyAlignment="1" applyBorder="1" applyFont="1">
      <alignment horizontal="center" shrinkToFit="0" vertical="bottom" wrapText="1"/>
    </xf>
    <xf borderId="8" fillId="0" fontId="21" numFmtId="164" xfId="0" applyAlignment="1" applyBorder="1" applyFont="1" applyNumberFormat="1">
      <alignment shrinkToFit="0" vertical="bottom" wrapText="0"/>
    </xf>
    <xf borderId="0" fillId="0" fontId="1" numFmtId="2" xfId="0" applyAlignment="1" applyFont="1" applyNumberFormat="1">
      <alignment shrinkToFit="0" vertical="bottom" wrapText="0"/>
    </xf>
    <xf borderId="0" fillId="0" fontId="30" numFmtId="0" xfId="0" applyAlignment="1" applyFont="1">
      <alignment shrinkToFit="0" vertical="bottom" wrapText="0"/>
    </xf>
    <xf borderId="0" fillId="0" fontId="30" numFmtId="0" xfId="0" applyAlignment="1" applyFont="1">
      <alignment horizontal="center" shrinkToFit="0" vertical="bottom" wrapText="0"/>
    </xf>
    <xf borderId="0" fillId="0" fontId="30" numFmtId="0" xfId="0" applyAlignment="1" applyFont="1">
      <alignment shrinkToFit="0" vertical="top" wrapText="1"/>
    </xf>
    <xf borderId="0" fillId="0" fontId="30" numFmtId="0" xfId="0" applyAlignment="1" applyFont="1">
      <alignment horizontal="center" shrinkToFit="0" vertical="top" wrapText="1"/>
    </xf>
    <xf borderId="0" fillId="0" fontId="1" numFmtId="4" xfId="0" applyAlignment="1" applyFont="1" applyNumberForma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30" numFmtId="4" xfId="0" applyAlignment="1" applyFont="1" applyNumberFormat="1">
      <alignment horizontal="center" shrinkToFit="0" vertical="center" wrapText="1"/>
    </xf>
    <xf borderId="0" fillId="0" fontId="30" numFmtId="4" xfId="0" applyAlignment="1" applyFont="1" applyNumberFormat="1">
      <alignment horizontal="center" shrinkToFit="0" vertical="center" wrapText="0"/>
    </xf>
    <xf borderId="0" fillId="0" fontId="30" numFmtId="2" xfId="0" applyAlignment="1" applyFont="1" applyNumberFormat="1">
      <alignment horizontal="center" shrinkToFit="0" vertical="center" wrapText="0"/>
    </xf>
    <xf borderId="12" fillId="2" fontId="31" numFmtId="0" xfId="0" applyAlignment="1" applyBorder="1" applyFont="1">
      <alignment horizontal="center" shrinkToFit="0" vertical="bottom" wrapText="0"/>
    </xf>
    <xf borderId="13" fillId="0" fontId="17" numFmtId="0" xfId="0" applyBorder="1" applyFont="1"/>
    <xf borderId="14" fillId="0" fontId="17" numFmtId="0" xfId="0" applyBorder="1" applyFont="1"/>
    <xf borderId="12" fillId="2" fontId="32" numFmtId="0" xfId="0" applyAlignment="1" applyBorder="1" applyFont="1">
      <alignment horizontal="center" shrinkToFit="0" vertical="center" wrapText="1"/>
    </xf>
    <xf borderId="0" fillId="0" fontId="32" numFmtId="0" xfId="0" applyAlignment="1" applyFont="1">
      <alignment shrinkToFit="0" vertical="bottom" wrapText="0"/>
    </xf>
    <xf borderId="0" fillId="0" fontId="32" numFmtId="0" xfId="0" applyAlignment="1" applyFont="1">
      <alignment horizontal="center" shrinkToFit="0" vertical="bottom" wrapText="0"/>
    </xf>
    <xf borderId="1" fillId="0" fontId="32" numFmtId="164" xfId="0" applyAlignment="1" applyBorder="1" applyFont="1" applyNumberFormat="1">
      <alignment horizontal="center" shrinkToFit="0" vertical="bottom" wrapText="0"/>
    </xf>
    <xf borderId="3" fillId="0" fontId="32" numFmtId="0" xfId="0" applyAlignment="1" applyBorder="1" applyFont="1">
      <alignment horizontal="center" shrinkToFit="0" vertical="center" wrapText="1"/>
    </xf>
    <xf borderId="4" fillId="0" fontId="32" numFmtId="0" xfId="0" applyAlignment="1" applyBorder="1" applyFont="1">
      <alignment horizontal="center" shrinkToFit="0" vertical="center" wrapText="0"/>
    </xf>
    <xf borderId="8" fillId="0" fontId="32" numFmtId="0" xfId="0" applyAlignment="1" applyBorder="1" applyFont="1">
      <alignment horizontal="center" shrinkToFit="0" vertical="center" wrapText="1"/>
    </xf>
    <xf borderId="8" fillId="0" fontId="30" numFmtId="4" xfId="0" applyAlignment="1" applyBorder="1" applyFont="1" applyNumberFormat="1">
      <alignment horizontal="center" shrinkToFit="0" vertical="center" wrapText="1"/>
    </xf>
    <xf borderId="4" fillId="0" fontId="30" numFmtId="2" xfId="0" applyAlignment="1" applyBorder="1" applyFont="1" applyNumberFormat="1">
      <alignment horizontal="center" shrinkToFit="0" vertical="center" wrapText="1"/>
    </xf>
    <xf borderId="8" fillId="0" fontId="30" numFmtId="4" xfId="0" applyAlignment="1" applyBorder="1" applyFont="1" applyNumberFormat="1">
      <alignment horizontal="center" shrinkToFit="0" vertical="center" wrapText="0"/>
    </xf>
    <xf borderId="8" fillId="0" fontId="30" numFmtId="0" xfId="0" applyAlignment="1" applyBorder="1" applyFont="1">
      <alignment horizontal="center" shrinkToFit="0" vertical="bottom" wrapText="0"/>
    </xf>
    <xf borderId="8" fillId="0" fontId="30" numFmtId="49" xfId="0" applyAlignment="1" applyBorder="1" applyFont="1" applyNumberFormat="1">
      <alignment horizontal="center" shrinkToFit="0" vertical="center" wrapText="0"/>
    </xf>
    <xf borderId="8" fillId="0" fontId="30" numFmtId="0" xfId="0" applyAlignment="1" applyBorder="1" applyFont="1">
      <alignment shrinkToFit="0" vertical="bottom" wrapText="0"/>
    </xf>
    <xf borderId="8" fillId="0" fontId="32" numFmtId="0" xfId="0" applyAlignment="1" applyBorder="1" applyFont="1">
      <alignment horizontal="center" shrinkToFit="0" vertical="bottom" wrapText="0"/>
    </xf>
    <xf borderId="4" fillId="0" fontId="30" numFmtId="2" xfId="0" applyAlignment="1" applyBorder="1" applyFont="1" applyNumberFormat="1">
      <alignment horizontal="center" shrinkToFit="0" vertical="center" wrapText="0"/>
    </xf>
    <xf borderId="8" fillId="0" fontId="32" numFmtId="0" xfId="0" applyAlignment="1" applyBorder="1" applyFont="1">
      <alignment horizontal="center" shrinkToFit="0" vertical="bottom" wrapText="1"/>
    </xf>
    <xf borderId="9" fillId="0" fontId="1" numFmtId="0" xfId="0" applyAlignment="1" applyBorder="1" applyFont="1">
      <alignment horizontal="center" shrinkToFit="0" vertical="center" wrapText="1"/>
    </xf>
    <xf borderId="8" fillId="0" fontId="30" numFmtId="49" xfId="0" applyAlignment="1" applyBorder="1" applyFont="1" applyNumberFormat="1">
      <alignment shrinkToFit="0" vertical="bottom" wrapText="0"/>
    </xf>
    <xf borderId="8" fillId="0" fontId="33" numFmtId="0" xfId="0" applyAlignment="1" applyBorder="1" applyFont="1">
      <alignment shrinkToFit="0" vertical="center" wrapText="1"/>
    </xf>
    <xf borderId="8" fillId="0" fontId="30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33" numFmtId="0" xfId="0" applyAlignment="1" applyBorder="1" applyFont="1">
      <alignment horizontal="left" shrinkToFit="0" vertical="bottom" wrapText="1"/>
    </xf>
    <xf borderId="8" fillId="0" fontId="30" numFmtId="0" xfId="0" applyAlignment="1" applyBorder="1" applyFont="1">
      <alignment horizontal="left" shrinkToFit="0" vertical="bottom" wrapText="1"/>
    </xf>
    <xf borderId="8" fillId="0" fontId="33" numFmtId="0" xfId="0" applyAlignment="1" applyBorder="1" applyFont="1">
      <alignment shrinkToFit="0" vertical="bottom" wrapText="1"/>
    </xf>
    <xf borderId="8" fillId="0" fontId="30" numFmtId="0" xfId="0" applyAlignment="1" applyBorder="1" applyFont="1">
      <alignment horizontal="center" shrinkToFit="0" vertical="center" wrapText="0"/>
    </xf>
    <xf borderId="8" fillId="0" fontId="33" numFmtId="0" xfId="0" applyAlignment="1" applyBorder="1" applyFont="1">
      <alignment horizontal="center" shrinkToFit="0" vertical="center" wrapText="0"/>
    </xf>
    <xf borderId="8" fillId="0" fontId="32" numFmtId="0" xfId="0" applyAlignment="1" applyBorder="1" applyFont="1">
      <alignment horizontal="center" shrinkToFit="0" vertical="center" wrapText="0"/>
    </xf>
    <xf borderId="8" fillId="0" fontId="32" numFmtId="4" xfId="0" applyAlignment="1" applyBorder="1" applyFont="1" applyNumberForma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1" numFmtId="4" xfId="0" applyAlignment="1" applyFont="1" applyNumberFormat="1">
      <alignment horizontal="center" shrinkToFit="0" vertical="center" wrapText="0"/>
    </xf>
    <xf borderId="8" fillId="0" fontId="33" numFmtId="0" xfId="0" applyAlignment="1" applyBorder="1" applyFont="1">
      <alignment shrinkToFit="0" vertical="bottom" wrapText="0"/>
    </xf>
    <xf borderId="8" fillId="0" fontId="30" numFmtId="49" xfId="0" applyAlignment="1" applyBorder="1" applyFont="1" applyNumberFormat="1">
      <alignment shrinkToFit="0" vertical="center" wrapText="0"/>
    </xf>
    <xf borderId="8" fillId="2" fontId="30" numFmtId="0" xfId="0" applyAlignment="1" applyBorder="1" applyFont="1">
      <alignment shrinkToFit="0" vertical="center" wrapText="1"/>
    </xf>
    <xf borderId="8" fillId="0" fontId="30" numFmtId="166" xfId="0" applyAlignment="1" applyBorder="1" applyFont="1" applyNumberFormat="1">
      <alignment horizontal="center" shrinkToFit="0" vertical="center" wrapText="0"/>
    </xf>
    <xf borderId="8" fillId="0" fontId="33" numFmtId="0" xfId="0" applyAlignment="1" applyBorder="1" applyFont="1">
      <alignment horizontal="center" shrinkToFit="0" vertical="center" wrapText="1"/>
    </xf>
    <xf borderId="8" fillId="0" fontId="30" numFmtId="0" xfId="0" applyAlignment="1" applyBorder="1" applyFont="1">
      <alignment shrinkToFit="0" vertical="center" wrapText="1"/>
    </xf>
    <xf borderId="8" fillId="0" fontId="33" numFmtId="0" xfId="0" applyAlignment="1" applyBorder="1" applyFont="1">
      <alignment horizontal="left" shrinkToFit="0" vertical="center" wrapText="1"/>
    </xf>
    <xf borderId="8" fillId="0" fontId="30" numFmtId="49" xfId="0" applyAlignment="1" applyBorder="1" applyFont="1" applyNumberFormat="1">
      <alignment shrinkToFit="0" vertical="center" wrapText="1"/>
    </xf>
    <xf borderId="8" fillId="2" fontId="30" numFmtId="166" xfId="0" applyAlignment="1" applyBorder="1" applyFont="1" applyNumberFormat="1">
      <alignment horizontal="center" shrinkToFit="0" vertical="center" wrapText="0"/>
    </xf>
    <xf borderId="8" fillId="0" fontId="32" numFmtId="4" xfId="0" applyAlignment="1" applyBorder="1" applyFont="1" applyNumberFormat="1">
      <alignment horizontal="center" shrinkToFit="0" vertical="bottom" wrapText="0"/>
    </xf>
    <xf borderId="4" fillId="0" fontId="32" numFmtId="2" xfId="0" applyAlignment="1" applyBorder="1" applyFont="1" applyNumberFormat="1">
      <alignment horizontal="center" shrinkToFit="0" vertical="center" wrapText="0"/>
    </xf>
    <xf borderId="8" fillId="0" fontId="30" numFmtId="0" xfId="0" applyAlignment="1" applyBorder="1" applyFont="1">
      <alignment horizontal="left" shrinkToFit="0" vertical="bottom" wrapText="0"/>
    </xf>
    <xf borderId="8" fillId="0" fontId="30" numFmtId="2" xfId="0" applyAlignment="1" applyBorder="1" applyFont="1" applyNumberFormat="1">
      <alignment horizontal="center" shrinkToFit="0" vertical="bottom" wrapText="0"/>
    </xf>
    <xf borderId="8" fillId="0" fontId="32" numFmtId="2" xfId="0" applyAlignment="1" applyBorder="1" applyFont="1" applyNumberFormat="1">
      <alignment horizontal="center" shrinkToFit="0" vertical="bottom" wrapText="0"/>
    </xf>
    <xf borderId="8" fillId="0" fontId="30" numFmtId="4" xfId="0" applyAlignment="1" applyBorder="1" applyFont="1" applyNumberForma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1"/>
    </xf>
    <xf borderId="8" fillId="0" fontId="30" numFmtId="164" xfId="0" applyAlignment="1" applyBorder="1" applyFont="1" applyNumberFormat="1">
      <alignment horizontal="center" shrinkToFit="0" vertical="bottom" wrapText="0"/>
    </xf>
    <xf borderId="8" fillId="0" fontId="33" numFmtId="0" xfId="0" applyAlignment="1" applyBorder="1" applyFont="1">
      <alignment horizontal="left" shrinkToFit="0" vertical="bottom" wrapText="0"/>
    </xf>
    <xf borderId="7" fillId="0" fontId="30" numFmtId="4" xfId="0" applyAlignment="1" applyBorder="1" applyFont="1" applyNumberFormat="1">
      <alignment horizontal="center" shrinkToFit="0" vertical="center" wrapText="0"/>
    </xf>
    <xf borderId="0" fillId="0" fontId="32" numFmtId="0" xfId="0" applyAlignment="1" applyFont="1">
      <alignment horizontal="center" shrinkToFit="0" vertical="bottom" wrapText="1"/>
    </xf>
    <xf borderId="0" fillId="0" fontId="33" numFmtId="0" xfId="0" applyAlignment="1" applyFont="1">
      <alignment horizontal="left" shrinkToFit="0" vertical="center" wrapText="0"/>
    </xf>
    <xf borderId="8" fillId="0" fontId="30" numFmtId="9" xfId="0" applyAlignment="1" applyBorder="1" applyFont="1" applyNumberFormat="1">
      <alignment horizontal="left" shrinkToFit="0" vertical="center" wrapText="1"/>
    </xf>
    <xf borderId="8" fillId="0" fontId="30" numFmtId="2" xfId="0" applyAlignment="1" applyBorder="1" applyFont="1" applyNumberFormat="1">
      <alignment horizontal="center" shrinkToFit="0" vertical="center" wrapText="0"/>
    </xf>
    <xf borderId="8" fillId="0" fontId="33" numFmtId="0" xfId="0" applyAlignment="1" applyBorder="1" applyFont="1">
      <alignment horizontal="center" shrinkToFit="0" vertical="bottom" wrapText="1"/>
    </xf>
    <xf borderId="0" fillId="0" fontId="33" numFmtId="0" xfId="0" applyAlignment="1" applyFont="1">
      <alignment horizontal="center" shrinkToFit="0" vertical="bottom" wrapText="0"/>
    </xf>
    <xf borderId="3" fillId="0" fontId="33" numFmtId="0" xfId="0" applyAlignment="1" applyBorder="1" applyFont="1">
      <alignment shrinkToFit="0" vertical="center" wrapText="1"/>
    </xf>
    <xf borderId="8" fillId="2" fontId="30" numFmtId="4" xfId="0" applyAlignment="1" applyBorder="1" applyFont="1" applyNumberFormat="1">
      <alignment horizontal="center" shrinkToFit="0" vertical="center" wrapText="0"/>
    </xf>
    <xf borderId="15" fillId="2" fontId="33" numFmtId="0" xfId="0" applyAlignment="1" applyBorder="1" applyFont="1">
      <alignment shrinkToFit="0" vertical="center" wrapText="1"/>
    </xf>
    <xf borderId="0" fillId="0" fontId="1" numFmtId="167" xfId="0" applyAlignment="1" applyFont="1" applyNumberFormat="1">
      <alignment horizontal="center" shrinkToFit="0" vertical="bottom" wrapText="0"/>
    </xf>
    <xf borderId="8" fillId="2" fontId="32" numFmtId="4" xfId="0" applyAlignment="1" applyBorder="1" applyFont="1" applyNumberFormat="1">
      <alignment horizontal="center" shrinkToFit="0" vertical="center" wrapText="0"/>
    </xf>
    <xf borderId="8" fillId="3" fontId="30" numFmtId="0" xfId="0" applyAlignment="1" applyBorder="1" applyFill="1" applyFont="1">
      <alignment shrinkToFit="0" vertical="bottom" wrapText="0"/>
    </xf>
    <xf borderId="8" fillId="3" fontId="33" numFmtId="0" xfId="0" applyAlignment="1" applyBorder="1" applyFont="1">
      <alignment shrinkToFit="0" vertical="bottom" wrapText="0"/>
    </xf>
    <xf borderId="8" fillId="3" fontId="32" numFmtId="0" xfId="0" applyAlignment="1" applyBorder="1" applyFont="1">
      <alignment horizontal="left" shrinkToFit="0" vertical="bottom" wrapText="1"/>
    </xf>
    <xf borderId="8" fillId="3" fontId="32" numFmtId="4" xfId="0" applyAlignment="1" applyBorder="1" applyFont="1" applyNumberFormat="1">
      <alignment horizontal="center" shrinkToFit="0" vertical="bottom" wrapText="0"/>
    </xf>
    <xf borderId="16" fillId="3" fontId="1" numFmtId="0" xfId="0" applyAlignment="1" applyBorder="1" applyFont="1">
      <alignment horizontal="center" shrinkToFit="0" vertical="bottom" wrapText="0"/>
    </xf>
    <xf borderId="8" fillId="3" fontId="30" numFmtId="4" xfId="0" applyAlignment="1" applyBorder="1" applyFont="1" applyNumberFormat="1">
      <alignment horizontal="center" shrinkToFit="0" vertical="center" wrapText="0"/>
    </xf>
    <xf borderId="8" fillId="4" fontId="32" numFmtId="4" xfId="0" applyAlignment="1" applyBorder="1" applyFill="1" applyFont="1" applyNumberFormat="1">
      <alignment horizontal="center" shrinkToFit="0" vertical="bottom" wrapText="0"/>
    </xf>
    <xf borderId="17" fillId="4" fontId="30" numFmtId="2" xfId="0" applyAlignment="1" applyBorder="1" applyFont="1" applyNumberFormat="1">
      <alignment horizontal="center" shrinkToFit="0" vertical="center" wrapText="0"/>
    </xf>
    <xf borderId="8" fillId="4" fontId="32" numFmtId="4" xfId="0" applyAlignment="1" applyBorder="1" applyFont="1" applyNumberFormat="1">
      <alignment horizontal="center" shrinkToFit="0" vertical="center" wrapText="0"/>
    </xf>
    <xf borderId="8" fillId="0" fontId="34" numFmtId="0" xfId="0" applyAlignment="1" applyBorder="1" applyFont="1">
      <alignment shrinkToFit="0" vertical="bottom" wrapText="0"/>
    </xf>
    <xf borderId="8" fillId="0" fontId="35" numFmtId="0" xfId="0" applyAlignment="1" applyBorder="1" applyFont="1">
      <alignment shrinkToFit="0" vertical="bottom" wrapText="0"/>
    </xf>
    <xf borderId="8" fillId="0" fontId="34" numFmtId="0" xfId="0" applyAlignment="1" applyBorder="1" applyFont="1">
      <alignment horizontal="left" shrinkToFit="0" vertical="bottom" wrapText="1"/>
    </xf>
    <xf borderId="8" fillId="0" fontId="34" numFmtId="4" xfId="0" applyAlignment="1" applyBorder="1" applyFont="1" applyNumberFormat="1">
      <alignment horizontal="center" shrinkToFit="0" vertical="bottom" wrapText="0"/>
    </xf>
    <xf borderId="8" fillId="2" fontId="34" numFmtId="4" xfId="0" applyAlignment="1" applyBorder="1" applyFont="1" applyNumberFormat="1">
      <alignment horizontal="center" shrinkToFit="0" vertical="bottom" wrapText="0"/>
    </xf>
    <xf borderId="16" fillId="2" fontId="36" numFmtId="0" xfId="0" applyAlignment="1" applyBorder="1" applyFont="1">
      <alignment horizontal="center" shrinkToFit="0" vertical="bottom" wrapText="0"/>
    </xf>
    <xf borderId="8" fillId="2" fontId="34" numFmtId="4" xfId="0" applyAlignment="1" applyBorder="1" applyFont="1" applyNumberFormat="1">
      <alignment horizontal="center" shrinkToFit="0" vertical="center" wrapText="0"/>
    </xf>
    <xf borderId="17" fillId="2" fontId="34" numFmtId="2" xfId="0" applyAlignment="1" applyBorder="1" applyFont="1" applyNumberFormat="1">
      <alignment horizontal="center" shrinkToFit="0" vertical="center" wrapText="0"/>
    </xf>
    <xf borderId="0" fillId="0" fontId="36" numFmtId="4" xfId="0" applyAlignment="1" applyFont="1" applyNumberFormat="1">
      <alignment shrinkToFit="0" vertical="bottom" wrapText="0"/>
    </xf>
    <xf borderId="0" fillId="0" fontId="36" numFmtId="0" xfId="0" applyAlignment="1" applyFont="1">
      <alignment shrinkToFit="0" vertical="bottom" wrapText="0"/>
    </xf>
    <xf borderId="8" fillId="4" fontId="30" numFmtId="0" xfId="0" applyAlignment="1" applyBorder="1" applyFont="1">
      <alignment shrinkToFit="0" vertical="bottom" wrapText="0"/>
    </xf>
    <xf borderId="8" fillId="4" fontId="33" numFmtId="0" xfId="0" applyAlignment="1" applyBorder="1" applyFont="1">
      <alignment shrinkToFit="0" vertical="bottom" wrapText="0"/>
    </xf>
    <xf borderId="8" fillId="4" fontId="32" numFmtId="0" xfId="0" applyAlignment="1" applyBorder="1" applyFont="1">
      <alignment horizontal="left" shrinkToFit="0" vertical="bottom" wrapText="1"/>
    </xf>
    <xf borderId="16" fillId="4" fontId="1" numFmtId="0" xfId="0" applyAlignment="1" applyBorder="1" applyFont="1">
      <alignment horizontal="center" shrinkToFit="0" vertical="bottom" wrapText="0"/>
    </xf>
    <xf borderId="8" fillId="4" fontId="30" numFmtId="4" xfId="0" applyAlignment="1" applyBorder="1" applyFont="1" applyNumberFormat="1">
      <alignment horizontal="center" shrinkToFit="0" vertical="center" wrapText="0"/>
    </xf>
    <xf borderId="8" fillId="0" fontId="30" numFmtId="0" xfId="0" applyAlignment="1" applyBorder="1" applyFont="1">
      <alignment shrinkToFit="0" vertical="bottom" wrapText="1"/>
    </xf>
    <xf borderId="8" fillId="0" fontId="32" numFmtId="164" xfId="0" applyAlignment="1" applyBorder="1" applyFont="1" applyNumberFormat="1">
      <alignment horizontal="center" shrinkToFit="0" vertical="bottom" wrapText="0"/>
    </xf>
    <xf borderId="8" fillId="4" fontId="30" numFmtId="0" xfId="0" applyAlignment="1" applyBorder="1" applyFont="1">
      <alignment horizontal="center" shrinkToFit="0" vertical="center" wrapText="0"/>
    </xf>
    <xf borderId="8" fillId="4" fontId="30" numFmtId="0" xfId="0" applyAlignment="1" applyBorder="1" applyFont="1">
      <alignment horizontal="center" shrinkToFit="0" vertical="center" wrapText="1"/>
    </xf>
    <xf borderId="8" fillId="4" fontId="32" numFmtId="0" xfId="0" applyAlignment="1" applyBorder="1" applyFont="1">
      <alignment horizontal="center" shrinkToFit="0" vertical="center" wrapText="1"/>
    </xf>
    <xf borderId="4" fillId="4" fontId="30" numFmtId="0" xfId="0" applyAlignment="1" applyBorder="1" applyFont="1">
      <alignment horizontal="center" shrinkToFit="0" vertical="center" wrapText="0"/>
    </xf>
    <xf borderId="8" fillId="4" fontId="32" numFmtId="164" xfId="0" applyAlignment="1" applyBorder="1" applyFont="1" applyNumberFormat="1">
      <alignment horizontal="center" shrinkToFit="0" vertical="center" wrapText="0"/>
    </xf>
    <xf borderId="16" fillId="4" fontId="1" numFmtId="0" xfId="0" applyAlignment="1" applyBorder="1" applyFont="1">
      <alignment horizontal="center" shrinkToFit="0" vertical="center" wrapText="0"/>
    </xf>
    <xf borderId="8" fillId="4" fontId="32" numFmtId="168" xfId="0" applyAlignment="1" applyBorder="1" applyFont="1" applyNumberFormat="1">
      <alignment horizontal="center" shrinkToFit="0" vertical="center" wrapText="0"/>
    </xf>
    <xf borderId="16" fillId="2" fontId="30" numFmtId="168" xfId="0" applyAlignment="1" applyBorder="1" applyFont="1" applyNumberFormat="1">
      <alignment horizontal="center" shrinkToFit="0" vertical="center" wrapText="0"/>
    </xf>
    <xf borderId="1" fillId="0" fontId="30" numFmtId="0" xfId="0" applyAlignment="1" applyBorder="1" applyFont="1">
      <alignment shrinkToFit="0" vertical="bottom" wrapText="0"/>
    </xf>
    <xf borderId="18" fillId="2" fontId="32" numFmtId="4" xfId="0" applyAlignment="1" applyBorder="1" applyFont="1" applyNumberFormat="1">
      <alignment horizontal="center" shrinkToFit="0" vertical="bottom" wrapText="0"/>
    </xf>
    <xf borderId="19" fillId="0" fontId="17" numFmtId="0" xfId="0" applyBorder="1" applyFont="1"/>
    <xf borderId="8" fillId="0" fontId="30" numFmtId="49" xfId="0" applyAlignment="1" applyBorder="1" applyFont="1" applyNumberFormat="1">
      <alignment horizontal="center" shrinkToFit="0" vertical="bottom" wrapText="0"/>
    </xf>
    <xf borderId="8" fillId="2" fontId="30" numFmtId="49" xfId="0" applyAlignment="1" applyBorder="1" applyFont="1" applyNumberFormat="1">
      <alignment horizontal="center" shrinkToFit="0" vertical="bottom" wrapText="0"/>
    </xf>
    <xf borderId="8" fillId="2" fontId="30" numFmtId="0" xfId="0" applyAlignment="1" applyBorder="1" applyFont="1">
      <alignment horizontal="left" shrinkToFit="0" vertical="bottom" wrapText="0"/>
    </xf>
    <xf borderId="8" fillId="2" fontId="30" numFmtId="168" xfId="0" applyAlignment="1" applyBorder="1" applyFont="1" applyNumberFormat="1">
      <alignment horizontal="center" shrinkToFit="0" vertical="bottom" wrapText="0"/>
    </xf>
    <xf borderId="8" fillId="2" fontId="30" numFmtId="4" xfId="0" applyAlignment="1" applyBorder="1" applyFont="1" applyNumberFormat="1">
      <alignment horizontal="center" shrinkToFit="0" vertical="bottom" wrapText="0"/>
    </xf>
    <xf borderId="8" fillId="2" fontId="30" numFmtId="0" xfId="0" applyAlignment="1" applyBorder="1" applyFont="1">
      <alignment horizontal="left" shrinkToFit="0" vertical="center" wrapText="1"/>
    </xf>
    <xf borderId="3" fillId="0" fontId="30" numFmtId="0" xfId="0" applyAlignment="1" applyBorder="1" applyFont="1">
      <alignment horizontal="left" shrinkToFit="0" vertical="bottom" wrapText="0"/>
    </xf>
    <xf borderId="7" fillId="0" fontId="30" numFmtId="0" xfId="0" applyAlignment="1" applyBorder="1" applyFont="1">
      <alignment horizontal="left" shrinkToFit="0" vertical="center" wrapText="1"/>
    </xf>
    <xf borderId="0" fillId="0" fontId="18" numFmtId="0" xfId="0" applyAlignment="1" applyFont="1">
      <alignment horizontal="center" shrinkToFit="0" vertical="bottom" wrapText="0"/>
    </xf>
    <xf borderId="8" fillId="2" fontId="30" numFmtId="0" xfId="0" applyAlignment="1" applyBorder="1" applyFont="1">
      <alignment horizontal="center" shrinkToFit="0" vertical="bottom" wrapText="1"/>
    </xf>
    <xf borderId="8" fillId="2" fontId="33" numFmtId="0" xfId="0" applyAlignment="1" applyBorder="1" applyFont="1">
      <alignment shrinkToFit="0" vertical="center" wrapText="1"/>
    </xf>
    <xf borderId="0" fillId="0" fontId="1" numFmtId="168" xfId="0" applyAlignment="1" applyFont="1" applyNumberFormat="1">
      <alignment shrinkToFit="0" vertical="bottom" wrapText="0"/>
    </xf>
    <xf borderId="8" fillId="0" fontId="32" numFmtId="0" xfId="0" applyAlignment="1" applyBorder="1" applyFont="1">
      <alignment horizontal="left" shrinkToFit="0" vertical="bottom" wrapText="1"/>
    </xf>
    <xf borderId="8" fillId="2" fontId="32" numFmtId="168" xfId="0" applyAlignment="1" applyBorder="1" applyFont="1" applyNumberFormat="1">
      <alignment horizontal="center" shrinkToFit="0" vertical="center" wrapText="0"/>
    </xf>
    <xf borderId="16" fillId="2" fontId="1" numFmtId="168" xfId="0" applyAlignment="1" applyBorder="1" applyFont="1" applyNumberFormat="1">
      <alignment shrinkToFit="0" vertical="bottom" wrapText="0"/>
    </xf>
    <xf borderId="8" fillId="0" fontId="34" numFmtId="0" xfId="0" applyAlignment="1" applyBorder="1" applyFont="1">
      <alignment horizontal="center" shrinkToFit="0" vertical="bottom" wrapText="0"/>
    </xf>
    <xf borderId="8" fillId="0" fontId="34" numFmtId="0" xfId="0" applyAlignment="1" applyBorder="1" applyFont="1">
      <alignment horizontal="center" shrinkToFit="0" vertical="bottom" wrapText="1"/>
    </xf>
    <xf borderId="0" fillId="0" fontId="36" numFmtId="0" xfId="0" applyAlignment="1" applyFont="1">
      <alignment horizontal="center" shrinkToFit="0" vertical="bottom" wrapText="0"/>
    </xf>
    <xf borderId="8" fillId="0" fontId="34" numFmtId="4" xfId="0" applyAlignment="1" applyBorder="1" applyFont="1" applyNumberFormat="1">
      <alignment horizontal="center" shrinkToFit="0" vertical="center" wrapText="0"/>
    </xf>
    <xf borderId="4" fillId="0" fontId="34" numFmtId="2" xfId="0" applyAlignment="1" applyBorder="1" applyFont="1" applyNumberFormat="1">
      <alignment horizontal="center" shrinkToFit="0" vertical="center" wrapText="0"/>
    </xf>
    <xf borderId="8" fillId="4" fontId="30" numFmtId="0" xfId="0" applyAlignment="1" applyBorder="1" applyFont="1">
      <alignment horizontal="center" shrinkToFit="0" vertical="bottom" wrapText="0"/>
    </xf>
    <xf borderId="15" fillId="3" fontId="32" numFmtId="4" xfId="0" applyAlignment="1" applyBorder="1" applyFont="1" applyNumberFormat="1">
      <alignment horizontal="center" shrinkToFit="0" vertical="bottom" wrapText="0"/>
    </xf>
    <xf borderId="15" fillId="4" fontId="30" numFmtId="4" xfId="0" applyAlignment="1" applyBorder="1" applyFont="1" applyNumberFormat="1">
      <alignment horizontal="center" shrinkToFit="0" vertical="center" wrapText="0"/>
    </xf>
    <xf borderId="20" fillId="4" fontId="30" numFmtId="2" xfId="0" applyAlignment="1" applyBorder="1" applyFont="1" applyNumberFormat="1">
      <alignment horizontal="center" shrinkToFit="0" vertical="center" wrapText="0"/>
    </xf>
    <xf borderId="15" fillId="4" fontId="32" numFmtId="168" xfId="0" applyAlignment="1" applyBorder="1" applyFont="1" applyNumberFormat="1">
      <alignment horizontal="center" shrinkToFit="0" vertical="center" wrapText="0"/>
    </xf>
    <xf borderId="8" fillId="0" fontId="32" numFmtId="168" xfId="0" applyAlignment="1" applyBorder="1" applyFont="1" applyNumberFormat="1">
      <alignment horizontal="center" shrinkToFit="0" vertical="bottom" wrapText="0"/>
    </xf>
    <xf borderId="8" fillId="0" fontId="1" numFmtId="0" xfId="0" applyAlignment="1" applyBorder="1" applyFont="1">
      <alignment horizontal="center" shrinkToFit="0" vertical="bottom" wrapText="0"/>
    </xf>
    <xf borderId="0" fillId="0" fontId="30" numFmtId="169" xfId="0" applyAlignment="1" applyFont="1" applyNumberFormat="1">
      <alignment horizontal="center" shrinkToFit="0" vertical="center" wrapText="0"/>
    </xf>
    <xf borderId="0" fillId="0" fontId="37" numFmtId="170" xfId="0" applyAlignment="1" applyFont="1" applyNumberFormat="1">
      <alignment horizontal="center" shrinkToFit="0" vertical="bottom" wrapText="0"/>
    </xf>
    <xf borderId="0" fillId="0" fontId="30" numFmtId="171" xfId="0" applyAlignment="1" applyFont="1" applyNumberFormat="1">
      <alignment horizontal="center" shrinkToFit="0" vertical="bottom" wrapText="0"/>
    </xf>
    <xf borderId="1" fillId="0" fontId="32" numFmtId="4" xfId="0" applyAlignment="1" applyBorder="1" applyFont="1" applyNumberFormat="1">
      <alignment horizontal="center" shrinkToFit="0" vertical="bottom" wrapText="0"/>
    </xf>
    <xf borderId="16" fillId="2" fontId="1" numFmtId="0" xfId="0" applyAlignment="1" applyBorder="1" applyFont="1">
      <alignment horizontal="center" shrinkToFit="0" vertical="bottom" wrapText="0"/>
    </xf>
    <xf borderId="17" fillId="2" fontId="30" numFmtId="2" xfId="0" applyAlignment="1" applyBorder="1" applyFont="1" applyNumberFormat="1">
      <alignment horizontal="center" shrinkToFit="0" vertical="center" wrapText="0"/>
    </xf>
    <xf borderId="8" fillId="0" fontId="33" numFmtId="4" xfId="0" applyAlignment="1" applyBorder="1" applyFont="1" applyNumberFormat="1">
      <alignment horizontal="left" shrinkToFit="0" vertical="bottom" wrapText="0"/>
    </xf>
    <xf borderId="0" fillId="0" fontId="30" numFmtId="4" xfId="0" applyAlignment="1" applyFont="1" applyNumberFormat="1">
      <alignment shrinkToFit="0" vertical="center" wrapText="0"/>
    </xf>
    <xf borderId="8" fillId="0" fontId="38" numFmtId="4" xfId="0" applyAlignment="1" applyBorder="1" applyFont="1" applyNumberFormat="1">
      <alignment horizontal="center" shrinkToFit="0" vertical="bottom" wrapText="0"/>
    </xf>
    <xf borderId="8" fillId="4" fontId="32" numFmtId="0" xfId="0" applyAlignment="1" applyBorder="1" applyFont="1">
      <alignment horizontal="left" shrinkToFit="0" vertical="center" wrapText="1"/>
    </xf>
    <xf borderId="8" fillId="3" fontId="32" numFmtId="168" xfId="0" applyAlignment="1" applyBorder="1" applyFont="1" applyNumberFormat="1">
      <alignment horizontal="center" shrinkToFit="0" vertical="center" wrapText="0"/>
    </xf>
    <xf borderId="8" fillId="4" fontId="32" numFmtId="0" xfId="0" applyAlignment="1" applyBorder="1" applyFont="1">
      <alignment shrinkToFit="0" vertical="center" wrapText="0"/>
    </xf>
    <xf borderId="8" fillId="3" fontId="32" numFmtId="4" xfId="0" applyAlignment="1" applyBorder="1" applyFont="1" applyNumberFormat="1">
      <alignment horizontal="center" shrinkToFit="0" vertical="center" wrapText="0"/>
    </xf>
    <xf borderId="16" fillId="2" fontId="39" numFmtId="0" xfId="0" applyAlignment="1" applyBorder="1" applyFont="1">
      <alignment shrinkToFit="0" vertical="bottom" wrapText="0"/>
    </xf>
    <xf borderId="0" fillId="0" fontId="39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8080"/>
    <pageSetUpPr/>
  </sheetPr>
  <sheetViews>
    <sheetView workbookViewId="0"/>
  </sheetViews>
  <sheetFormatPr customHeight="1" defaultColWidth="12.63" defaultRowHeight="15.0"/>
  <cols>
    <col customWidth="1" min="1" max="1" width="5.25"/>
    <col customWidth="1" min="2" max="2" width="34.13"/>
    <col customWidth="1" min="3" max="3" width="41.75"/>
    <col customWidth="1" min="4" max="4" width="14.25"/>
    <col customWidth="1" min="5" max="5" width="10.25"/>
    <col customWidth="1" min="6" max="6" width="13.25"/>
    <col customWidth="1" min="7" max="7" width="12.0"/>
    <col customWidth="1" min="8" max="8" width="18.13"/>
    <col customWidth="1" min="9" max="9" width="42.63"/>
    <col customWidth="1" min="10" max="10" width="14.25"/>
    <col customWidth="1" min="11" max="256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5.75" customHeight="1">
      <c r="A2" s="4" t="s">
        <v>0</v>
      </c>
      <c r="B2" s="4"/>
      <c r="C2" s="4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ht="12.75" customHeight="1">
      <c r="A3" s="1"/>
      <c r="B3" s="1"/>
      <c r="C3" s="1"/>
      <c r="D3" s="1"/>
      <c r="E3" s="1"/>
      <c r="F3" s="1"/>
      <c r="G3" s="1"/>
      <c r="H3" s="1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ht="15.75" customHeight="1">
      <c r="A4" s="4" t="s">
        <v>1</v>
      </c>
      <c r="B4" s="7"/>
      <c r="C4" s="7"/>
      <c r="D4" s="7"/>
      <c r="E4" s="7"/>
      <c r="F4" s="7"/>
      <c r="G4" s="7"/>
      <c r="H4" s="7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ht="12.75" customHeight="1">
      <c r="A5" s="1"/>
      <c r="B5" s="1"/>
      <c r="C5" s="1"/>
      <c r="D5" s="1"/>
      <c r="E5" s="1"/>
      <c r="F5" s="1"/>
      <c r="G5" s="1"/>
      <c r="H5" s="1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ht="12.75" customHeight="1">
      <c r="A6" s="1"/>
      <c r="B6" s="1"/>
      <c r="C6" s="1"/>
      <c r="D6" s="1"/>
      <c r="E6" s="1"/>
      <c r="F6" s="1"/>
      <c r="G6" s="1"/>
      <c r="H6" s="1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ht="18.0" customHeight="1">
      <c r="A7" s="10" t="s">
        <v>2</v>
      </c>
      <c r="B7" s="10"/>
      <c r="C7" s="11"/>
      <c r="D7" s="12" t="str">
        <f>H106</f>
        <v>2,025,159.116</v>
      </c>
      <c r="E7" s="13" t="s">
        <v>3</v>
      </c>
      <c r="F7" s="11"/>
      <c r="G7" s="11"/>
      <c r="H7" s="11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ht="18.0" customHeight="1">
      <c r="A8" s="10"/>
      <c r="B8" s="10"/>
      <c r="C8" s="11"/>
      <c r="D8" s="14"/>
      <c r="E8" s="13"/>
      <c r="F8" s="11"/>
      <c r="G8" s="11"/>
      <c r="H8" s="11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>
      <c r="A9" s="15" t="s">
        <v>4</v>
      </c>
      <c r="B9" s="1"/>
      <c r="C9" s="1"/>
      <c r="D9" s="16" t="str">
        <f>H107</f>
        <v>2459.273</v>
      </c>
      <c r="E9" s="17" t="s">
        <v>3</v>
      </c>
      <c r="F9" s="1"/>
      <c r="G9" s="1"/>
      <c r="H9" s="1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ht="12.75" customHeight="1">
      <c r="A11" s="18"/>
      <c r="B11" s="19"/>
      <c r="C11" s="19"/>
      <c r="D11" s="19"/>
      <c r="E11" s="19"/>
      <c r="F11" s="19"/>
      <c r="G11" s="19"/>
      <c r="H11" s="19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ht="12.75" customHeight="1">
      <c r="A12" s="20" t="s">
        <v>5</v>
      </c>
      <c r="B12" s="21"/>
      <c r="C12" s="21"/>
      <c r="D12" s="21"/>
      <c r="E12" s="21"/>
      <c r="F12" s="21"/>
      <c r="G12" s="21"/>
      <c r="H12" s="21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ht="12.75" customHeight="1">
      <c r="A14" s="22" t="s">
        <v>6</v>
      </c>
      <c r="B14" s="22"/>
      <c r="C14" s="22"/>
      <c r="D14" s="22"/>
      <c r="E14" s="22"/>
      <c r="F14" s="22"/>
      <c r="G14" s="22"/>
      <c r="H14" s="22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ht="18.0" customHeight="1">
      <c r="A18" s="25" t="s">
        <v>7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ht="15.75" customHeight="1">
      <c r="A19" s="26" t="s">
        <v>8</v>
      </c>
      <c r="I19" s="26"/>
      <c r="Q19" s="26"/>
      <c r="Y19" s="26" t="s">
        <v>8</v>
      </c>
      <c r="AG19" s="26" t="s">
        <v>8</v>
      </c>
      <c r="AO19" s="26" t="s">
        <v>8</v>
      </c>
      <c r="AW19" s="26" t="s">
        <v>8</v>
      </c>
      <c r="BE19" s="26" t="s">
        <v>8</v>
      </c>
      <c r="BM19" s="26" t="s">
        <v>8</v>
      </c>
      <c r="BU19" s="26" t="s">
        <v>8</v>
      </c>
      <c r="CC19" s="26" t="s">
        <v>8</v>
      </c>
      <c r="CK19" s="26" t="s">
        <v>8</v>
      </c>
      <c r="CS19" s="26" t="s">
        <v>8</v>
      </c>
      <c r="DA19" s="26" t="s">
        <v>8</v>
      </c>
      <c r="DI19" s="26" t="s">
        <v>8</v>
      </c>
      <c r="DQ19" s="26" t="s">
        <v>8</v>
      </c>
      <c r="DY19" s="26" t="s">
        <v>8</v>
      </c>
      <c r="EG19" s="26" t="s">
        <v>8</v>
      </c>
      <c r="EO19" s="26" t="s">
        <v>8</v>
      </c>
      <c r="EW19" s="26" t="s">
        <v>8</v>
      </c>
      <c r="FE19" s="26" t="s">
        <v>8</v>
      </c>
      <c r="FM19" s="26" t="s">
        <v>8</v>
      </c>
      <c r="FU19" s="26" t="s">
        <v>8</v>
      </c>
      <c r="GC19" s="26" t="s">
        <v>8</v>
      </c>
      <c r="GK19" s="26" t="s">
        <v>8</v>
      </c>
      <c r="GS19" s="26" t="s">
        <v>8</v>
      </c>
      <c r="HA19" s="26" t="s">
        <v>8</v>
      </c>
      <c r="HI19" s="26" t="s">
        <v>8</v>
      </c>
      <c r="HQ19" s="26" t="s">
        <v>8</v>
      </c>
      <c r="HY19" s="26" t="s">
        <v>8</v>
      </c>
      <c r="IG19" s="26" t="s">
        <v>8</v>
      </c>
      <c r="IO19" s="26" t="s">
        <v>8</v>
      </c>
    </row>
    <row r="20" ht="15.75" customHeight="1">
      <c r="A20" s="4"/>
      <c r="B20" s="4"/>
      <c r="C20" s="4"/>
      <c r="D20" s="4"/>
      <c r="E20" s="4"/>
      <c r="F20" s="4"/>
      <c r="G20" s="4"/>
      <c r="H20" s="4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>
      <c r="A21" s="27" t="s">
        <v>9</v>
      </c>
      <c r="B21" s="28"/>
      <c r="C21" s="28"/>
      <c r="D21" s="28"/>
      <c r="E21" s="28"/>
      <c r="F21" s="28"/>
      <c r="G21" s="28"/>
      <c r="H21" s="28"/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ht="15.75" customHeight="1">
      <c r="A22" s="1"/>
      <c r="B22" s="1"/>
      <c r="C22" s="1"/>
      <c r="D22" s="1"/>
      <c r="E22" s="1"/>
      <c r="F22" s="1"/>
      <c r="G22" s="1"/>
      <c r="H22" s="26" t="s">
        <v>10</v>
      </c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>
      <c r="A23" s="31" t="s">
        <v>11</v>
      </c>
      <c r="B23" s="31" t="s">
        <v>12</v>
      </c>
      <c r="C23" s="31" t="s">
        <v>13</v>
      </c>
      <c r="D23" s="32" t="s">
        <v>14</v>
      </c>
      <c r="E23" s="33"/>
      <c r="F23" s="33"/>
      <c r="G23" s="34"/>
      <c r="H23" s="31" t="s">
        <v>15</v>
      </c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ht="60.0" customHeight="1">
      <c r="A24" s="35"/>
      <c r="B24" s="35"/>
      <c r="C24" s="35"/>
      <c r="D24" s="36" t="s">
        <v>16</v>
      </c>
      <c r="E24" s="36" t="s">
        <v>17</v>
      </c>
      <c r="F24" s="36" t="s">
        <v>18</v>
      </c>
      <c r="G24" s="36" t="s">
        <v>19</v>
      </c>
      <c r="H24" s="35"/>
      <c r="I24" s="3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ht="12.75" customHeight="1">
      <c r="A25" s="38">
        <v>1.0</v>
      </c>
      <c r="B25" s="38">
        <v>2.0</v>
      </c>
      <c r="C25" s="38">
        <v>3.0</v>
      </c>
      <c r="D25" s="38">
        <v>4.0</v>
      </c>
      <c r="E25" s="38">
        <v>5.0</v>
      </c>
      <c r="F25" s="38">
        <v>6.0</v>
      </c>
      <c r="G25" s="38">
        <v>7.0</v>
      </c>
      <c r="H25" s="38">
        <v>8.0</v>
      </c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ht="15.75" customHeight="1">
      <c r="A26" s="39" t="s">
        <v>20</v>
      </c>
      <c r="B26" s="39"/>
      <c r="C26" s="40" t="s">
        <v>21</v>
      </c>
      <c r="D26" s="39"/>
      <c r="E26" s="39"/>
      <c r="F26" s="39"/>
      <c r="G26" s="39"/>
      <c r="H26" s="39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31.5" customHeight="1">
      <c r="A27" s="39"/>
      <c r="B27" s="39"/>
      <c r="C27" s="41" t="s">
        <v>22</v>
      </c>
      <c r="D27" s="39"/>
      <c r="E27" s="39"/>
      <c r="F27" s="39"/>
      <c r="G27" s="39"/>
      <c r="H27" s="39"/>
      <c r="I27" s="42" t="s">
        <v>23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ht="32.25" customHeight="1">
      <c r="A28" s="43" t="s">
        <v>24</v>
      </c>
      <c r="B28" s="44" t="s">
        <v>25</v>
      </c>
      <c r="C28" s="45" t="s">
        <v>26</v>
      </c>
      <c r="D28" s="46"/>
      <c r="E28" s="46"/>
      <c r="F28" s="46"/>
      <c r="G28" s="47">
        <v>0.0</v>
      </c>
      <c r="H28" s="46" t="str">
        <f t="shared" ref="H28:H30" si="1">SUM(D28:G28)</f>
        <v>0.00</v>
      </c>
      <c r="I28" s="4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ht="33.75" customHeight="1">
      <c r="A29" s="43" t="s">
        <v>27</v>
      </c>
      <c r="B29" s="44" t="s">
        <v>25</v>
      </c>
      <c r="C29" s="45" t="s">
        <v>28</v>
      </c>
      <c r="D29" s="46"/>
      <c r="E29" s="46"/>
      <c r="F29" s="46"/>
      <c r="G29" s="47">
        <v>0.0</v>
      </c>
      <c r="H29" s="46" t="str">
        <f t="shared" si="1"/>
        <v>0.00</v>
      </c>
      <c r="I29" s="4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ht="15.75" customHeight="1">
      <c r="A30" s="39"/>
      <c r="B30" s="39"/>
      <c r="C30" s="40" t="s">
        <v>29</v>
      </c>
      <c r="D30" s="49" t="str">
        <f t="shared" ref="D30:G30" si="2">SUM(D28:D29)</f>
        <v>0.00</v>
      </c>
      <c r="E30" s="49" t="str">
        <f t="shared" si="2"/>
        <v>0.00</v>
      </c>
      <c r="F30" s="49" t="str">
        <f t="shared" si="2"/>
        <v>0.00</v>
      </c>
      <c r="G30" s="49" t="str">
        <f t="shared" si="2"/>
        <v>0.00</v>
      </c>
      <c r="H30" s="49" t="str">
        <f t="shared" si="1"/>
        <v>0.00</v>
      </c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ht="15.75" customHeight="1">
      <c r="A31" s="39" t="s">
        <v>30</v>
      </c>
      <c r="B31" s="39"/>
      <c r="C31" s="40" t="s">
        <v>31</v>
      </c>
      <c r="D31" s="39"/>
      <c r="E31" s="39"/>
      <c r="F31" s="39"/>
      <c r="G31" s="39"/>
      <c r="H31" s="39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ht="15.75" customHeight="1">
      <c r="A32" s="39"/>
      <c r="B32" s="39"/>
      <c r="C32" s="40" t="s">
        <v>32</v>
      </c>
      <c r="D32" s="39"/>
      <c r="E32" s="39"/>
      <c r="F32" s="39"/>
      <c r="G32" s="39"/>
      <c r="H32" s="39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ht="36.0" customHeight="1">
      <c r="A33" s="43" t="s">
        <v>33</v>
      </c>
      <c r="B33" s="45" t="s">
        <v>34</v>
      </c>
      <c r="C33" s="44" t="s">
        <v>35</v>
      </c>
      <c r="D33" s="47" t="str">
        <f>68.083+174295.82</f>
        <v>174,363.903</v>
      </c>
      <c r="E33" s="47">
        <v>0.0</v>
      </c>
      <c r="F33" s="47">
        <v>0.0</v>
      </c>
      <c r="G33" s="47">
        <v>0.0</v>
      </c>
      <c r="H33" s="50" t="str">
        <f t="shared" ref="H33:H37" si="3">SUM(D33:G33)</f>
        <v>174,363.90</v>
      </c>
      <c r="I33" s="4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ht="49.5" customHeight="1">
      <c r="A34" s="43" t="s">
        <v>36</v>
      </c>
      <c r="B34" s="45" t="s">
        <v>37</v>
      </c>
      <c r="C34" s="51" t="s">
        <v>38</v>
      </c>
      <c r="D34" s="47">
        <v>1.077</v>
      </c>
      <c r="E34" s="47" t="str">
        <f>19.155+22.029</f>
        <v>41.184</v>
      </c>
      <c r="F34" s="47">
        <v>34.061</v>
      </c>
      <c r="G34" s="47">
        <v>0.408</v>
      </c>
      <c r="H34" s="50" t="str">
        <f t="shared" si="3"/>
        <v>76.73</v>
      </c>
      <c r="I34" s="4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ht="43.5" customHeight="1">
      <c r="A35" s="43" t="s">
        <v>39</v>
      </c>
      <c r="B35" s="45" t="s">
        <v>40</v>
      </c>
      <c r="C35" s="51" t="s">
        <v>41</v>
      </c>
      <c r="D35" s="47">
        <v>1244.382</v>
      </c>
      <c r="E35" s="47">
        <v>0.0</v>
      </c>
      <c r="F35" s="47">
        <v>0.0</v>
      </c>
      <c r="G35" s="47">
        <v>0.0</v>
      </c>
      <c r="H35" s="50" t="str">
        <f t="shared" si="3"/>
        <v>1,244.38</v>
      </c>
      <c r="I35" s="4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ht="33.0" customHeight="1">
      <c r="A36" s="43" t="s">
        <v>42</v>
      </c>
      <c r="B36" s="45" t="s">
        <v>43</v>
      </c>
      <c r="C36" s="51" t="s">
        <v>44</v>
      </c>
      <c r="D36" s="47">
        <v>35538.881</v>
      </c>
      <c r="E36" s="47">
        <v>0.0</v>
      </c>
      <c r="F36" s="47">
        <v>0.0</v>
      </c>
      <c r="G36" s="47">
        <v>0.0</v>
      </c>
      <c r="H36" s="50" t="str">
        <f t="shared" si="3"/>
        <v>35,538.88</v>
      </c>
      <c r="I36" s="4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ht="15.75" customHeight="1">
      <c r="A37" s="39"/>
      <c r="B37" s="39"/>
      <c r="C37" s="40" t="s">
        <v>45</v>
      </c>
      <c r="D37" s="49" t="str">
        <f t="shared" ref="D37:G37" si="4">SUM(D33:D36)</f>
        <v>211,148.24</v>
      </c>
      <c r="E37" s="49" t="str">
        <f t="shared" si="4"/>
        <v>41.18</v>
      </c>
      <c r="F37" s="49" t="str">
        <f t="shared" si="4"/>
        <v>34.06</v>
      </c>
      <c r="G37" s="49" t="str">
        <f t="shared" si="4"/>
        <v>0.41</v>
      </c>
      <c r="H37" s="49" t="str">
        <f t="shared" si="3"/>
        <v>211,223.90</v>
      </c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ht="15.75" customHeight="1">
      <c r="A38" s="39" t="s">
        <v>46</v>
      </c>
      <c r="B38" s="39"/>
      <c r="C38" s="40" t="s">
        <v>47</v>
      </c>
      <c r="D38" s="39"/>
      <c r="E38" s="39"/>
      <c r="F38" s="39"/>
      <c r="G38" s="39"/>
      <c r="H38" s="39"/>
      <c r="I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ht="31.5" customHeight="1">
      <c r="A39" s="52"/>
      <c r="B39" s="52"/>
      <c r="C39" s="53" t="s">
        <v>48</v>
      </c>
      <c r="D39" s="52"/>
      <c r="E39" s="52"/>
      <c r="F39" s="52"/>
      <c r="G39" s="52"/>
      <c r="H39" s="52"/>
      <c r="I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ht="14.25" customHeight="1">
      <c r="A40" s="52"/>
      <c r="B40" s="52"/>
      <c r="C40" s="54" t="s">
        <v>49</v>
      </c>
      <c r="D40" s="52"/>
      <c r="E40" s="52"/>
      <c r="F40" s="52"/>
      <c r="G40" s="52"/>
      <c r="H40" s="52"/>
      <c r="I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ht="15.75" customHeight="1">
      <c r="A41" s="39"/>
      <c r="B41" s="39"/>
      <c r="C41" s="40" t="s">
        <v>50</v>
      </c>
      <c r="D41" s="55" t="str">
        <f t="shared" ref="D41:G41" si="5">SUM(D40)</f>
        <v>0.00</v>
      </c>
      <c r="E41" s="55" t="str">
        <f t="shared" si="5"/>
        <v>0.00</v>
      </c>
      <c r="F41" s="55" t="str">
        <f t="shared" si="5"/>
        <v>0.00</v>
      </c>
      <c r="G41" s="55" t="str">
        <f t="shared" si="5"/>
        <v>0.00</v>
      </c>
      <c r="H41" s="56" t="str">
        <f>SUM(D41:G41)</f>
        <v>0.00</v>
      </c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ht="15.75" customHeight="1">
      <c r="A42" s="39" t="s">
        <v>51</v>
      </c>
      <c r="B42" s="39"/>
      <c r="C42" s="40" t="s">
        <v>52</v>
      </c>
      <c r="D42" s="39"/>
      <c r="E42" s="39"/>
      <c r="F42" s="39"/>
      <c r="G42" s="39"/>
      <c r="H42" s="39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ht="15.75" customHeight="1">
      <c r="A43" s="57"/>
      <c r="B43" s="57"/>
      <c r="C43" s="58" t="s">
        <v>53</v>
      </c>
      <c r="D43" s="57"/>
      <c r="E43" s="57"/>
      <c r="F43" s="57"/>
      <c r="G43" s="57"/>
      <c r="H43" s="57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>
      <c r="A44" s="43" t="s">
        <v>54</v>
      </c>
      <c r="B44" s="45"/>
      <c r="C44" s="54" t="s">
        <v>49</v>
      </c>
      <c r="D44" s="47">
        <v>0.0</v>
      </c>
      <c r="E44" s="47">
        <v>0.0</v>
      </c>
      <c r="F44" s="47">
        <v>0.0</v>
      </c>
      <c r="G44" s="47">
        <v>0.0</v>
      </c>
      <c r="H44" s="46" t="str">
        <f t="shared" ref="H44:H46" si="6">SUM(D44:G44)</f>
        <v>0.00</v>
      </c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ht="30.0" hidden="1" customHeight="1">
      <c r="A45" s="39"/>
      <c r="B45" s="61" t="s">
        <v>55</v>
      </c>
      <c r="C45" s="62" t="s">
        <v>56</v>
      </c>
      <c r="D45" s="50"/>
      <c r="E45" s="50"/>
      <c r="F45" s="50"/>
      <c r="G45" s="39"/>
      <c r="H45" s="63" t="str">
        <f t="shared" si="6"/>
        <v>0.000</v>
      </c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ht="15.75" customHeight="1">
      <c r="A46" s="39"/>
      <c r="B46" s="39"/>
      <c r="C46" s="40" t="s">
        <v>57</v>
      </c>
      <c r="D46" s="64" t="str">
        <f t="shared" ref="D46:G46" si="7">SUM(D44,D45)</f>
        <v>0.00</v>
      </c>
      <c r="E46" s="64" t="str">
        <f t="shared" si="7"/>
        <v>0.00</v>
      </c>
      <c r="F46" s="64" t="str">
        <f t="shared" si="7"/>
        <v>0.00</v>
      </c>
      <c r="G46" s="65" t="str">
        <f t="shared" si="7"/>
        <v>0.00</v>
      </c>
      <c r="H46" s="65" t="str">
        <f t="shared" si="6"/>
        <v>0.00</v>
      </c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ht="15.75" customHeight="1">
      <c r="A47" s="39" t="s">
        <v>58</v>
      </c>
      <c r="B47" s="39"/>
      <c r="C47" s="40" t="s">
        <v>59</v>
      </c>
      <c r="D47" s="39"/>
      <c r="E47" s="39"/>
      <c r="F47" s="39"/>
      <c r="G47" s="39"/>
      <c r="H47" s="39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ht="30.0" customHeight="1">
      <c r="A48" s="57"/>
      <c r="B48" s="57"/>
      <c r="C48" s="58" t="s">
        <v>60</v>
      </c>
      <c r="D48" s="57"/>
      <c r="E48" s="57"/>
      <c r="F48" s="57"/>
      <c r="G48" s="57"/>
      <c r="H48" s="57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ht="22.5" customHeight="1">
      <c r="A49" s="43" t="s">
        <v>61</v>
      </c>
      <c r="B49" s="45"/>
      <c r="C49" s="54" t="s">
        <v>49</v>
      </c>
      <c r="D49" s="47">
        <v>0.0</v>
      </c>
      <c r="E49" s="47">
        <v>0.0</v>
      </c>
      <c r="F49" s="47">
        <v>0.0</v>
      </c>
      <c r="G49" s="47">
        <v>0.0</v>
      </c>
      <c r="H49" s="50" t="str">
        <f t="shared" ref="H49:H50" si="9">SUM(D49:G49)</f>
        <v>0.00</v>
      </c>
      <c r="I49" s="6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ht="15.75" customHeight="1">
      <c r="A50" s="39"/>
      <c r="B50" s="39"/>
      <c r="C50" s="40" t="s">
        <v>62</v>
      </c>
      <c r="D50" s="56" t="str">
        <f t="shared" ref="D50:G50" si="8">D49</f>
        <v>0.00</v>
      </c>
      <c r="E50" s="56" t="str">
        <f t="shared" si="8"/>
        <v>0.00</v>
      </c>
      <c r="F50" s="56" t="str">
        <f t="shared" si="8"/>
        <v>0.00</v>
      </c>
      <c r="G50" s="56" t="str">
        <f t="shared" si="8"/>
        <v>0.00</v>
      </c>
      <c r="H50" s="56" t="str">
        <f t="shared" si="9"/>
        <v>0.00</v>
      </c>
      <c r="I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ht="15.75" customHeight="1">
      <c r="A51" s="39" t="s">
        <v>63</v>
      </c>
      <c r="B51" s="39"/>
      <c r="C51" s="40" t="s">
        <v>64</v>
      </c>
      <c r="D51" s="39"/>
      <c r="E51" s="39"/>
      <c r="F51" s="39"/>
      <c r="G51" s="39"/>
      <c r="H51" s="39"/>
      <c r="I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ht="63.75" customHeight="1">
      <c r="A52" s="52"/>
      <c r="B52" s="52"/>
      <c r="C52" s="58" t="s">
        <v>65</v>
      </c>
      <c r="D52" s="52"/>
      <c r="E52" s="52"/>
      <c r="F52" s="52"/>
      <c r="G52" s="52"/>
      <c r="H52" s="52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ht="31.5" customHeight="1">
      <c r="A53" s="43" t="s">
        <v>66</v>
      </c>
      <c r="B53" s="45"/>
      <c r="C53" s="54" t="s">
        <v>49</v>
      </c>
      <c r="D53" s="47">
        <v>0.0</v>
      </c>
      <c r="E53" s="47">
        <v>0.0</v>
      </c>
      <c r="F53" s="47">
        <v>0.0</v>
      </c>
      <c r="G53" s="47">
        <v>0.0</v>
      </c>
      <c r="H53" s="46" t="str">
        <f>D53+E53+F53+G53</f>
        <v>0.00</v>
      </c>
      <c r="I53" s="6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ht="15.75" customHeight="1">
      <c r="A54" s="39"/>
      <c r="B54" s="39"/>
      <c r="C54" s="40" t="s">
        <v>67</v>
      </c>
      <c r="D54" s="64" t="str">
        <f t="shared" ref="D54:G54" si="10">SUM(D53)</f>
        <v>0.00</v>
      </c>
      <c r="E54" s="64" t="str">
        <f t="shared" si="10"/>
        <v>0.00</v>
      </c>
      <c r="F54" s="64" t="str">
        <f t="shared" si="10"/>
        <v>0.00</v>
      </c>
      <c r="G54" s="64" t="str">
        <f t="shared" si="10"/>
        <v>0.00</v>
      </c>
      <c r="H54" s="64" t="str">
        <f>SUM(D54:G54)</f>
        <v>0.00</v>
      </c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ht="15.75" customHeight="1">
      <c r="A55" s="39" t="s">
        <v>68</v>
      </c>
      <c r="B55" s="39"/>
      <c r="C55" s="40" t="s">
        <v>69</v>
      </c>
      <c r="D55" s="39"/>
      <c r="E55" s="39"/>
      <c r="F55" s="39"/>
      <c r="G55" s="39"/>
      <c r="H55" s="39"/>
      <c r="I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ht="30.0" customHeight="1">
      <c r="A56" s="57"/>
      <c r="B56" s="57"/>
      <c r="C56" s="58" t="s">
        <v>70</v>
      </c>
      <c r="D56" s="57"/>
      <c r="E56" s="57"/>
      <c r="F56" s="57"/>
      <c r="G56" s="57"/>
      <c r="H56" s="57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ht="14.25" customHeight="1">
      <c r="A57" s="43" t="s">
        <v>71</v>
      </c>
      <c r="B57" s="45"/>
      <c r="C57" s="45" t="s">
        <v>49</v>
      </c>
      <c r="D57" s="47">
        <v>0.0</v>
      </c>
      <c r="E57" s="47">
        <v>0.0</v>
      </c>
      <c r="F57" s="47">
        <v>0.0</v>
      </c>
      <c r="G57" s="47">
        <v>0.0</v>
      </c>
      <c r="H57" s="46" t="str">
        <f t="shared" ref="H57:H59" si="12">SUM(D57:G57)</f>
        <v>0.00</v>
      </c>
      <c r="I57" s="6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ht="15.75" customHeight="1">
      <c r="A58" s="39"/>
      <c r="B58" s="39"/>
      <c r="C58" s="40" t="s">
        <v>72</v>
      </c>
      <c r="D58" s="64" t="str">
        <f t="shared" ref="D58:G58" si="11">SUM(D57)</f>
        <v>0.00</v>
      </c>
      <c r="E58" s="64" t="str">
        <f t="shared" si="11"/>
        <v>0.00</v>
      </c>
      <c r="F58" s="64" t="str">
        <f t="shared" si="11"/>
        <v>0.00</v>
      </c>
      <c r="G58" s="64" t="str">
        <f t="shared" si="11"/>
        <v>0.00</v>
      </c>
      <c r="H58" s="49" t="str">
        <f t="shared" si="12"/>
        <v>0.00</v>
      </c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ht="15.75" customHeight="1">
      <c r="A59" s="39"/>
      <c r="B59" s="39"/>
      <c r="C59" s="40" t="s">
        <v>73</v>
      </c>
      <c r="D59" s="64" t="str">
        <f t="shared" ref="D59:G59" si="13">SUM(D30,D37,D41,D46,D50,D54,D58)</f>
        <v>211,148.24</v>
      </c>
      <c r="E59" s="64" t="str">
        <f t="shared" si="13"/>
        <v>41.18</v>
      </c>
      <c r="F59" s="64" t="str">
        <f t="shared" si="13"/>
        <v>34.06</v>
      </c>
      <c r="G59" s="64" t="str">
        <f t="shared" si="13"/>
        <v>0.41</v>
      </c>
      <c r="H59" s="64" t="str">
        <f t="shared" si="12"/>
        <v>211,223.90</v>
      </c>
      <c r="I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ht="15.75" customHeight="1">
      <c r="A60" s="39" t="s">
        <v>74</v>
      </c>
      <c r="B60" s="39"/>
      <c r="C60" s="40" t="s">
        <v>75</v>
      </c>
      <c r="D60" s="50"/>
      <c r="E60" s="50"/>
      <c r="F60" s="50"/>
      <c r="G60" s="50"/>
      <c r="H60" s="50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ht="15.75" customHeight="1">
      <c r="A61" s="39"/>
      <c r="B61" s="39"/>
      <c r="C61" s="40" t="s">
        <v>76</v>
      </c>
      <c r="D61" s="50"/>
      <c r="E61" s="50"/>
      <c r="F61" s="50"/>
      <c r="G61" s="50"/>
      <c r="H61" s="50"/>
      <c r="I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ht="64.5" customHeight="1">
      <c r="A62" s="43" t="s">
        <v>77</v>
      </c>
      <c r="B62" s="45" t="s">
        <v>78</v>
      </c>
      <c r="C62" s="45" t="s">
        <v>79</v>
      </c>
      <c r="D62" s="47" t="str">
        <f>101.262+1155.053+18.05+58.912+2.104+14.36</f>
        <v>1,349.741</v>
      </c>
      <c r="E62" s="47" t="str">
        <f>968.909+117.874+35.103+76.521</f>
        <v>1,198.407</v>
      </c>
      <c r="F62" s="47">
        <v>0.187</v>
      </c>
      <c r="G62" s="63"/>
      <c r="H62" s="64" t="str">
        <f t="shared" ref="H62:H64" si="15">SUM(D62:G62)</f>
        <v>2,548.34</v>
      </c>
      <c r="I62" s="66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ht="15.75" customHeight="1">
      <c r="A63" s="39"/>
      <c r="B63" s="67"/>
      <c r="C63" s="40" t="s">
        <v>80</v>
      </c>
      <c r="D63" s="64" t="str">
        <f t="shared" ref="D63:G63" si="14">SUM(D62)</f>
        <v>1,349.74</v>
      </c>
      <c r="E63" s="64" t="str">
        <f t="shared" si="14"/>
        <v>1,198.41</v>
      </c>
      <c r="F63" s="64" t="str">
        <f t="shared" si="14"/>
        <v>0.19</v>
      </c>
      <c r="G63" s="64" t="str">
        <f t="shared" si="14"/>
        <v>0.00</v>
      </c>
      <c r="H63" s="64" t="str">
        <f t="shared" si="15"/>
        <v>2,548.34</v>
      </c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ht="15.75" customHeight="1">
      <c r="A64" s="39"/>
      <c r="B64" s="67"/>
      <c r="C64" s="40" t="s">
        <v>81</v>
      </c>
      <c r="D64" s="64" t="str">
        <f t="shared" ref="D64:G64" si="16">SUM(D59,D63)</f>
        <v>212,497.98</v>
      </c>
      <c r="E64" s="64" t="str">
        <f t="shared" si="16"/>
        <v>1,239.59</v>
      </c>
      <c r="F64" s="64" t="str">
        <f t="shared" si="16"/>
        <v>34.25</v>
      </c>
      <c r="G64" s="64" t="str">
        <f t="shared" si="16"/>
        <v>0.41</v>
      </c>
      <c r="H64" s="64" t="str">
        <f t="shared" si="15"/>
        <v>213,772.23</v>
      </c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ht="15.75" customHeight="1">
      <c r="A65" s="39" t="s">
        <v>82</v>
      </c>
      <c r="B65" s="67"/>
      <c r="C65" s="40" t="s">
        <v>83</v>
      </c>
      <c r="D65" s="50"/>
      <c r="E65" s="50"/>
      <c r="F65" s="50"/>
      <c r="G65" s="50"/>
      <c r="H65" s="50"/>
      <c r="I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ht="17.25" customHeight="1">
      <c r="A66" s="39"/>
      <c r="B66" s="67"/>
      <c r="C66" s="40" t="s">
        <v>84</v>
      </c>
      <c r="D66" s="50"/>
      <c r="E66" s="50"/>
      <c r="F66" s="50"/>
      <c r="G66" s="50"/>
      <c r="H66" s="50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ht="31.5" customHeight="1">
      <c r="A67" s="43" t="s">
        <v>85</v>
      </c>
      <c r="B67" s="68" t="s">
        <v>86</v>
      </c>
      <c r="C67" s="45" t="s">
        <v>87</v>
      </c>
      <c r="D67" s="47">
        <v>0.0</v>
      </c>
      <c r="E67" s="47">
        <v>0.0</v>
      </c>
      <c r="F67" s="47">
        <v>0.0</v>
      </c>
      <c r="G67" s="46" t="str">
        <f>2464.982/9.63*3*0.11</f>
        <v>84.47</v>
      </c>
      <c r="H67" s="64" t="str">
        <f>G67</f>
        <v>84.47</v>
      </c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ht="62.25" customHeight="1">
      <c r="A68" s="43" t="s">
        <v>88</v>
      </c>
      <c r="B68" s="69"/>
      <c r="C68" s="70" t="s">
        <v>89</v>
      </c>
      <c r="D68" s="71" t="str">
        <f t="shared" ref="D68:E68" si="17">D64*0.034</f>
        <v>7,224.931</v>
      </c>
      <c r="E68" s="71" t="str">
        <f t="shared" si="17"/>
        <v>42.146</v>
      </c>
      <c r="F68" s="47">
        <v>0.0</v>
      </c>
      <c r="G68" s="47">
        <v>0.0</v>
      </c>
      <c r="H68" s="72" t="str">
        <f t="shared" ref="H68:H71" si="18">SUM(D68:G68)</f>
        <v>7,267.08</v>
      </c>
      <c r="I68" s="66" t="s">
        <v>90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ht="15.75" customHeight="1">
      <c r="A69" s="43" t="s">
        <v>91</v>
      </c>
      <c r="B69" s="73"/>
      <c r="C69" s="74"/>
      <c r="D69" s="50"/>
      <c r="E69" s="50"/>
      <c r="F69" s="50"/>
      <c r="G69" s="52"/>
      <c r="H69" s="49" t="str">
        <f t="shared" si="18"/>
        <v>0.00</v>
      </c>
      <c r="I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ht="15.75" customHeight="1">
      <c r="A70" s="39"/>
      <c r="B70" s="67"/>
      <c r="C70" s="40" t="s">
        <v>92</v>
      </c>
      <c r="D70" s="64" t="str">
        <f t="shared" ref="D70:G70" si="19">SUM( ,D68,D69,D67)</f>
        <v>7,224.93</v>
      </c>
      <c r="E70" s="64" t="str">
        <f t="shared" si="19"/>
        <v>42.15</v>
      </c>
      <c r="F70" s="64" t="str">
        <f t="shared" si="19"/>
        <v>0.00</v>
      </c>
      <c r="G70" s="64" t="str">
        <f t="shared" si="19"/>
        <v>84.47</v>
      </c>
      <c r="H70" s="64" t="str">
        <f t="shared" si="18"/>
        <v>7,351.55</v>
      </c>
      <c r="I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ht="15.75" customHeight="1">
      <c r="A71" s="39"/>
      <c r="B71" s="67"/>
      <c r="C71" s="40" t="s">
        <v>93</v>
      </c>
      <c r="D71" s="64" t="str">
        <f t="shared" ref="D71:G71" si="20">SUM(D64,D70)</f>
        <v>219,722.92</v>
      </c>
      <c r="E71" s="64" t="str">
        <f t="shared" si="20"/>
        <v>1,281.74</v>
      </c>
      <c r="F71" s="64" t="str">
        <f t="shared" si="20"/>
        <v>34.25</v>
      </c>
      <c r="G71" s="64" t="str">
        <f t="shared" si="20"/>
        <v>84.88</v>
      </c>
      <c r="H71" s="64" t="str">
        <f t="shared" si="18"/>
        <v>221,123.78</v>
      </c>
      <c r="I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ht="15.75" customHeight="1">
      <c r="A72" s="39" t="s">
        <v>94</v>
      </c>
      <c r="B72" s="67"/>
      <c r="C72" s="40" t="s">
        <v>95</v>
      </c>
      <c r="D72" s="49"/>
      <c r="E72" s="49"/>
      <c r="F72" s="49"/>
      <c r="G72" s="49"/>
      <c r="H72" s="49"/>
      <c r="I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ht="54.0" customHeight="1">
      <c r="A73" s="39"/>
      <c r="B73" s="67"/>
      <c r="C73" s="58" t="s">
        <v>96</v>
      </c>
      <c r="D73" s="49"/>
      <c r="E73" s="49"/>
      <c r="F73" s="49"/>
      <c r="G73" s="49"/>
      <c r="H73" s="49"/>
      <c r="I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ht="44.25" customHeight="1">
      <c r="A74" s="43" t="s">
        <v>97</v>
      </c>
      <c r="B74" s="75" t="s">
        <v>98</v>
      </c>
      <c r="C74" s="76" t="s">
        <v>99</v>
      </c>
      <c r="D74" s="52"/>
      <c r="E74" s="52"/>
      <c r="F74" s="52"/>
      <c r="G74" s="47" t="str">
        <f>H71*0.014</f>
        <v>3,095.733</v>
      </c>
      <c r="H74" s="64" t="str">
        <f t="shared" ref="H74:H76" si="22">SUM(D74:G74)</f>
        <v>3,095.73</v>
      </c>
      <c r="I74" s="66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ht="15.75" customHeight="1">
      <c r="A75" s="39"/>
      <c r="B75" s="39"/>
      <c r="C75" s="40" t="s">
        <v>100</v>
      </c>
      <c r="D75" s="77" t="str">
        <f t="shared" ref="D75:G75" si="21">SUM(D74)</f>
        <v>0.00</v>
      </c>
      <c r="E75" s="77" t="str">
        <f t="shared" si="21"/>
        <v>0.00</v>
      </c>
      <c r="F75" s="77" t="str">
        <f t="shared" si="21"/>
        <v>0.00</v>
      </c>
      <c r="G75" s="46" t="str">
        <f t="shared" si="21"/>
        <v>3,095.73</v>
      </c>
      <c r="H75" s="65" t="str">
        <f t="shared" si="22"/>
        <v>3095.73</v>
      </c>
      <c r="I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ht="15.75" customHeight="1">
      <c r="A76" s="39"/>
      <c r="B76" s="39"/>
      <c r="C76" s="40" t="s">
        <v>101</v>
      </c>
      <c r="D76" s="64" t="str">
        <f t="shared" ref="D76:G76" si="23">SUM(D71,D75)</f>
        <v>219,722.92</v>
      </c>
      <c r="E76" s="64" t="str">
        <f t="shared" si="23"/>
        <v>1,281.74</v>
      </c>
      <c r="F76" s="64" t="str">
        <f t="shared" si="23"/>
        <v>34.25</v>
      </c>
      <c r="G76" s="64" t="str">
        <f t="shared" si="23"/>
        <v>3,180.61</v>
      </c>
      <c r="H76" s="64" t="str">
        <f t="shared" si="22"/>
        <v>224,219.51</v>
      </c>
      <c r="I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ht="15.75" customHeight="1">
      <c r="A77" s="39" t="s">
        <v>102</v>
      </c>
      <c r="B77" s="39"/>
      <c r="C77" s="40" t="s">
        <v>103</v>
      </c>
      <c r="D77" s="49"/>
      <c r="E77" s="49"/>
      <c r="F77" s="49"/>
      <c r="G77" s="49"/>
      <c r="H77" s="49"/>
      <c r="I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ht="18.0" customHeight="1">
      <c r="A78" s="57"/>
      <c r="B78" s="57"/>
      <c r="C78" s="58" t="s">
        <v>104</v>
      </c>
      <c r="D78" s="64"/>
      <c r="E78" s="64"/>
      <c r="F78" s="64"/>
      <c r="G78" s="64"/>
      <c r="H78" s="64"/>
      <c r="I78" s="59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0"/>
      <c r="IV78" s="60"/>
    </row>
    <row r="79">
      <c r="A79" s="39"/>
      <c r="B79" s="39"/>
      <c r="C79" s="67" t="s">
        <v>49</v>
      </c>
      <c r="D79" s="47">
        <v>0.0</v>
      </c>
      <c r="E79" s="47">
        <v>0.0</v>
      </c>
      <c r="F79" s="47">
        <v>0.0</v>
      </c>
      <c r="G79" s="47">
        <v>0.0</v>
      </c>
      <c r="H79" s="47">
        <v>0.0</v>
      </c>
      <c r="I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ht="15.75" customHeight="1">
      <c r="A80" s="39"/>
      <c r="B80" s="39"/>
      <c r="C80" s="40" t="s">
        <v>105</v>
      </c>
      <c r="D80" s="55" t="str">
        <f t="shared" ref="D80:G80" si="24">SUM(D79)</f>
        <v>0.00</v>
      </c>
      <c r="E80" s="55" t="str">
        <f t="shared" si="24"/>
        <v>0.00</v>
      </c>
      <c r="F80" s="55" t="str">
        <f t="shared" si="24"/>
        <v>0.00</v>
      </c>
      <c r="G80" s="55" t="str">
        <f t="shared" si="24"/>
        <v>0.00</v>
      </c>
      <c r="H80" s="56" t="str">
        <f t="shared" ref="H80:H81" si="26">SUM(D80:G80)</f>
        <v>0.00</v>
      </c>
      <c r="I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ht="15.75" customHeight="1">
      <c r="A81" s="39"/>
      <c r="B81" s="39"/>
      <c r="C81" s="40" t="s">
        <v>106</v>
      </c>
      <c r="D81" s="64" t="str">
        <f t="shared" ref="D81:G81" si="25">SUM(D76,D80)</f>
        <v>219,722.92</v>
      </c>
      <c r="E81" s="64" t="str">
        <f t="shared" si="25"/>
        <v>1,281.74</v>
      </c>
      <c r="F81" s="64" t="str">
        <f t="shared" si="25"/>
        <v>34.25</v>
      </c>
      <c r="G81" s="64" t="str">
        <f t="shared" si="25"/>
        <v>3,180.61</v>
      </c>
      <c r="H81" s="64" t="str">
        <f t="shared" si="26"/>
        <v>224,219.51</v>
      </c>
      <c r="I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ht="15.75" customHeight="1">
      <c r="A82" s="39" t="s">
        <v>107</v>
      </c>
      <c r="B82" s="39"/>
      <c r="C82" s="40" t="s">
        <v>108</v>
      </c>
      <c r="D82" s="49"/>
      <c r="E82" s="49"/>
      <c r="F82" s="49"/>
      <c r="G82" s="49"/>
      <c r="H82" s="49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ht="33.75" customHeight="1">
      <c r="A83" s="39"/>
      <c r="B83" s="39"/>
      <c r="C83" s="41" t="s">
        <v>109</v>
      </c>
      <c r="D83" s="49"/>
      <c r="E83" s="49"/>
      <c r="F83" s="49"/>
      <c r="G83" s="49"/>
      <c r="H83" s="49"/>
      <c r="I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ht="42.75" customHeight="1">
      <c r="A84" s="43" t="s">
        <v>110</v>
      </c>
      <c r="B84" s="78" t="s">
        <v>111</v>
      </c>
      <c r="C84" s="45" t="s">
        <v>112</v>
      </c>
      <c r="D84" s="49"/>
      <c r="E84" s="49"/>
      <c r="F84" s="49"/>
      <c r="G84" s="79" t="str">
        <f>1947.06323/3.93</f>
        <v>495.436</v>
      </c>
      <c r="H84" s="64" t="str">
        <f t="shared" ref="H84:H107" si="27">SUM(D84:G84)</f>
        <v>495.44</v>
      </c>
      <c r="I84" s="2"/>
      <c r="J84" s="3" t="s">
        <v>113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ht="39.75" customHeight="1">
      <c r="A85" s="43" t="s">
        <v>114</v>
      </c>
      <c r="B85" s="78" t="s">
        <v>115</v>
      </c>
      <c r="C85" s="45" t="s">
        <v>116</v>
      </c>
      <c r="D85" s="49"/>
      <c r="E85" s="49"/>
      <c r="F85" s="49"/>
      <c r="G85" s="79" t="str">
        <f>4128.71402/44.5</f>
        <v>92.780</v>
      </c>
      <c r="H85" s="64" t="str">
        <f t="shared" si="27"/>
        <v>92.78</v>
      </c>
      <c r="I85" s="42" t="s">
        <v>117</v>
      </c>
      <c r="J85" s="3" t="s">
        <v>118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ht="37.5" customHeight="1">
      <c r="A86" s="43" t="s">
        <v>119</v>
      </c>
      <c r="B86" s="78" t="s">
        <v>120</v>
      </c>
      <c r="C86" s="45" t="s">
        <v>121</v>
      </c>
      <c r="D86" s="49"/>
      <c r="E86" s="49"/>
      <c r="F86" s="49"/>
      <c r="G86" s="79" t="str">
        <f>6601.07271/44.5</f>
        <v>148.339</v>
      </c>
      <c r="H86" s="64" t="str">
        <f t="shared" si="27"/>
        <v>148.34</v>
      </c>
      <c r="I86" s="48"/>
      <c r="J86" s="3" t="s">
        <v>118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ht="45.75" customHeight="1">
      <c r="A87" s="43" t="s">
        <v>122</v>
      </c>
      <c r="B87" s="78" t="s">
        <v>123</v>
      </c>
      <c r="C87" s="45" t="s">
        <v>124</v>
      </c>
      <c r="D87" s="49"/>
      <c r="E87" s="49"/>
      <c r="F87" s="49"/>
      <c r="G87" s="79" t="str">
        <f>651.5073/44.5</f>
        <v>14.641</v>
      </c>
      <c r="H87" s="64" t="str">
        <f t="shared" si="27"/>
        <v>14.64</v>
      </c>
      <c r="I87" s="48"/>
      <c r="J87" s="3" t="s">
        <v>118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ht="48.75" customHeight="1">
      <c r="A88" s="43" t="s">
        <v>125</v>
      </c>
      <c r="B88" s="80" t="s">
        <v>126</v>
      </c>
      <c r="C88" s="45" t="s">
        <v>127</v>
      </c>
      <c r="D88" s="49"/>
      <c r="E88" s="49"/>
      <c r="F88" s="49"/>
      <c r="G88" s="79" t="str">
        <f>2161.16196/3.92</f>
        <v>551.317</v>
      </c>
      <c r="H88" s="64" t="str">
        <f t="shared" si="27"/>
        <v>551.32</v>
      </c>
      <c r="I88" s="81" t="s">
        <v>128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ht="46.5" customHeight="1">
      <c r="A89" s="43" t="s">
        <v>129</v>
      </c>
      <c r="B89" s="80" t="s">
        <v>130</v>
      </c>
      <c r="C89" s="45" t="s">
        <v>131</v>
      </c>
      <c r="D89" s="49"/>
      <c r="E89" s="49"/>
      <c r="F89" s="49"/>
      <c r="G89" s="79" t="str">
        <f>(26645.9281+39968.89215)/3.92</f>
        <v>16,993.577</v>
      </c>
      <c r="H89" s="64" t="str">
        <f t="shared" si="27"/>
        <v>16,993.58</v>
      </c>
      <c r="I89" s="48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ht="48.75" customHeight="1">
      <c r="A90" s="43" t="s">
        <v>132</v>
      </c>
      <c r="B90" s="80" t="s">
        <v>130</v>
      </c>
      <c r="C90" s="45" t="s">
        <v>133</v>
      </c>
      <c r="D90" s="49"/>
      <c r="E90" s="49"/>
      <c r="F90" s="49"/>
      <c r="G90" s="79" t="str">
        <f>(75.19814+112.79721)/3.92</f>
        <v>47.958</v>
      </c>
      <c r="H90" s="64" t="str">
        <f t="shared" si="27"/>
        <v>47.96</v>
      </c>
      <c r="I90" s="4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ht="45.0" customHeight="1">
      <c r="A91" s="43" t="s">
        <v>134</v>
      </c>
      <c r="B91" s="80" t="s">
        <v>130</v>
      </c>
      <c r="C91" s="45" t="s">
        <v>135</v>
      </c>
      <c r="D91" s="49"/>
      <c r="E91" s="49"/>
      <c r="F91" s="49"/>
      <c r="G91" s="79" t="str">
        <f>(26.18921+39.28382)/3.92</f>
        <v>16.702</v>
      </c>
      <c r="H91" s="64" t="str">
        <f t="shared" si="27"/>
        <v>16.70</v>
      </c>
      <c r="I91" s="48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ht="67.5" customHeight="1">
      <c r="A92" s="43" t="s">
        <v>136</v>
      </c>
      <c r="B92" s="80" t="s">
        <v>130</v>
      </c>
      <c r="C92" s="45" t="s">
        <v>137</v>
      </c>
      <c r="D92" s="49"/>
      <c r="E92" s="49"/>
      <c r="F92" s="49"/>
      <c r="G92" s="79" t="str">
        <f>(1945.93604+2918.90406)/3.92</f>
        <v>1,241.031</v>
      </c>
      <c r="H92" s="64" t="str">
        <f t="shared" si="27"/>
        <v>1,241.03</v>
      </c>
      <c r="I92" s="48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ht="42.75" customHeight="1">
      <c r="A93" s="43" t="s">
        <v>138</v>
      </c>
      <c r="B93" s="82" t="s">
        <v>130</v>
      </c>
      <c r="C93" s="45" t="s">
        <v>139</v>
      </c>
      <c r="D93" s="49"/>
      <c r="E93" s="49"/>
      <c r="F93" s="49"/>
      <c r="G93" s="79" t="str">
        <f>(122.24128+183.36192)/3.92</f>
        <v>77.960</v>
      </c>
      <c r="H93" s="64" t="str">
        <f t="shared" si="27"/>
        <v>77.96</v>
      </c>
      <c r="I93" s="4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ht="63.0" customHeight="1">
      <c r="A94" s="43" t="s">
        <v>140</v>
      </c>
      <c r="B94" s="82" t="s">
        <v>130</v>
      </c>
      <c r="C94" s="45" t="s">
        <v>141</v>
      </c>
      <c r="D94" s="49"/>
      <c r="E94" s="49"/>
      <c r="F94" s="49"/>
      <c r="G94" s="79" t="str">
        <f>(174.15776+261.23664)/3.92</f>
        <v>111.070</v>
      </c>
      <c r="H94" s="64" t="str">
        <f t="shared" si="27"/>
        <v>111.07</v>
      </c>
      <c r="I94" s="48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ht="60.75" customHeight="1">
      <c r="A95" s="43" t="s">
        <v>142</v>
      </c>
      <c r="B95" s="82" t="s">
        <v>143</v>
      </c>
      <c r="C95" s="45" t="s">
        <v>144</v>
      </c>
      <c r="D95" s="49"/>
      <c r="E95" s="49"/>
      <c r="F95" s="49"/>
      <c r="G95" s="79" t="str">
        <f>1700/1.18/3.92</f>
        <v>367.520</v>
      </c>
      <c r="H95" s="64" t="str">
        <f t="shared" si="27"/>
        <v>367.52</v>
      </c>
      <c r="I95" s="48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ht="36.0" customHeight="1">
      <c r="A96" s="43" t="s">
        <v>145</v>
      </c>
      <c r="B96" s="82" t="s">
        <v>146</v>
      </c>
      <c r="C96" s="45" t="s">
        <v>147</v>
      </c>
      <c r="D96" s="49"/>
      <c r="E96" s="49"/>
      <c r="F96" s="49"/>
      <c r="G96" s="79" t="str">
        <f>154.433/3.92</f>
        <v>39.396</v>
      </c>
      <c r="H96" s="64" t="str">
        <f t="shared" si="27"/>
        <v>39.40</v>
      </c>
      <c r="I96" s="48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ht="68.25" customHeight="1">
      <c r="A97" s="43" t="s">
        <v>148</v>
      </c>
      <c r="B97" s="82" t="s">
        <v>149</v>
      </c>
      <c r="C97" s="45" t="s">
        <v>150</v>
      </c>
      <c r="D97" s="49"/>
      <c r="E97" s="49"/>
      <c r="F97" s="49"/>
      <c r="G97" s="79" t="str">
        <f>496.12/3.92</f>
        <v>126.561</v>
      </c>
      <c r="H97" s="64" t="str">
        <f t="shared" si="27"/>
        <v>126.56</v>
      </c>
      <c r="I97" s="48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ht="39.0" customHeight="1">
      <c r="A98" s="43" t="s">
        <v>151</v>
      </c>
      <c r="B98" s="82" t="s">
        <v>152</v>
      </c>
      <c r="C98" s="83" t="s">
        <v>153</v>
      </c>
      <c r="D98" s="49"/>
      <c r="E98" s="49"/>
      <c r="F98" s="49"/>
      <c r="G98" s="79" t="str">
        <f>H71*0.002</f>
        <v>442.248</v>
      </c>
      <c r="H98" s="65" t="str">
        <f t="shared" si="27"/>
        <v>442.25</v>
      </c>
      <c r="I98" s="48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ht="27.0" customHeight="1">
      <c r="A99" s="43" t="s">
        <v>154</v>
      </c>
      <c r="B99" s="83" t="s">
        <v>155</v>
      </c>
      <c r="C99" s="83" t="s">
        <v>156</v>
      </c>
      <c r="D99" s="64"/>
      <c r="E99" s="64"/>
      <c r="F99" s="64"/>
      <c r="G99" s="47">
        <v>0.0</v>
      </c>
      <c r="H99" s="65" t="str">
        <f t="shared" si="27"/>
        <v>0.00</v>
      </c>
      <c r="I99" s="48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ht="15.75" customHeight="1">
      <c r="A100" s="39"/>
      <c r="B100" s="39"/>
      <c r="C100" s="40" t="s">
        <v>157</v>
      </c>
      <c r="D100" s="65" t="str">
        <f t="shared" ref="D100:F100" si="28">SUM(D85:D97)</f>
        <v>0.00</v>
      </c>
      <c r="E100" s="65" t="str">
        <f t="shared" si="28"/>
        <v>0.00</v>
      </c>
      <c r="F100" s="65" t="str">
        <f t="shared" si="28"/>
        <v>0.00</v>
      </c>
      <c r="G100" s="64" t="str">
        <f>SUM(G84:G99)</f>
        <v>20,766.53</v>
      </c>
      <c r="H100" s="64" t="str">
        <f t="shared" si="27"/>
        <v>20,766.53</v>
      </c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ht="15.75" customHeight="1">
      <c r="A101" s="39"/>
      <c r="B101" s="39"/>
      <c r="C101" s="40" t="s">
        <v>158</v>
      </c>
      <c r="D101" s="64" t="str">
        <f t="shared" ref="D101:G101" si="29">SUM(D81,D100)</f>
        <v>219,722.92</v>
      </c>
      <c r="E101" s="64" t="str">
        <f t="shared" si="29"/>
        <v>1,281.74</v>
      </c>
      <c r="F101" s="64" t="str">
        <f t="shared" si="29"/>
        <v>34.25</v>
      </c>
      <c r="G101" s="64" t="str">
        <f t="shared" si="29"/>
        <v>23,947.15</v>
      </c>
      <c r="H101" s="64" t="str">
        <f t="shared" si="27"/>
        <v>244,986.05</v>
      </c>
      <c r="I101" s="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ht="45.75" customHeight="1">
      <c r="A102" s="39" t="s">
        <v>159</v>
      </c>
      <c r="B102" s="84" t="s">
        <v>160</v>
      </c>
      <c r="C102" s="85" t="s">
        <v>161</v>
      </c>
      <c r="D102" s="64" t="str">
        <f t="shared" ref="D102:E102" si="30">D101*6.5</f>
        <v>1,428,198.95</v>
      </c>
      <c r="E102" s="64" t="str">
        <f t="shared" si="30"/>
        <v>8,331.29</v>
      </c>
      <c r="F102" s="64" t="str">
        <f>F101*3.67</f>
        <v>125.69</v>
      </c>
      <c r="G102" s="64" t="str">
        <f>G81*9.63+SUM(G88,G89,G90,G91,G92,G93,G94,G95,G96,G97)*3.92+SUM(G85, ,G86,G87)*44.5+G84*3.93+G99+(D71*6.5+E71*6.5+F71*3.67+G71*9.63)*0.002</f>
        <v>123,559.10</v>
      </c>
      <c r="H102" s="64" t="str">
        <f t="shared" si="27"/>
        <v>1,560,215.04</v>
      </c>
      <c r="I102" s="66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ht="54.75" customHeight="1">
      <c r="A103" s="39" t="s">
        <v>162</v>
      </c>
      <c r="B103" s="44" t="s">
        <v>163</v>
      </c>
      <c r="C103" s="45" t="s">
        <v>164</v>
      </c>
      <c r="D103" s="64" t="str">
        <f t="shared" ref="D103:G103" si="31">D102*0.1</f>
        <v>142,819.90</v>
      </c>
      <c r="E103" s="64" t="str">
        <f t="shared" si="31"/>
        <v>833.13</v>
      </c>
      <c r="F103" s="64" t="str">
        <f t="shared" si="31"/>
        <v>12.57</v>
      </c>
      <c r="G103" s="64" t="str">
        <f t="shared" si="31"/>
        <v>12,355.91</v>
      </c>
      <c r="H103" s="64" t="str">
        <f t="shared" si="27"/>
        <v>156,021.50</v>
      </c>
      <c r="I103" s="29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</row>
    <row r="104" ht="15.75" customHeight="1">
      <c r="A104" s="39" t="s">
        <v>165</v>
      </c>
      <c r="B104" s="39"/>
      <c r="C104" s="41" t="s">
        <v>166</v>
      </c>
      <c r="D104" s="64" t="str">
        <f t="shared" ref="D104:G104" si="32">D102+D103</f>
        <v>1,571,018.85</v>
      </c>
      <c r="E104" s="64" t="str">
        <f t="shared" si="32"/>
        <v>9,164.42</v>
      </c>
      <c r="F104" s="64" t="str">
        <f t="shared" si="32"/>
        <v>138.26</v>
      </c>
      <c r="G104" s="64" t="str">
        <f t="shared" si="32"/>
        <v>135,915.01</v>
      </c>
      <c r="H104" s="86" t="str">
        <f t="shared" si="27"/>
        <v>1,716,236.539</v>
      </c>
      <c r="I104" s="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>
      <c r="A105" s="39" t="s">
        <v>167</v>
      </c>
      <c r="B105" s="39"/>
      <c r="C105" s="85" t="s">
        <v>168</v>
      </c>
      <c r="D105" s="46" t="str">
        <f t="shared" ref="D105:G105" si="33">D104*0.18</f>
        <v>282,783.39</v>
      </c>
      <c r="E105" s="46" t="str">
        <f t="shared" si="33"/>
        <v>1,649.60</v>
      </c>
      <c r="F105" s="46" t="str">
        <f t="shared" si="33"/>
        <v>24.89</v>
      </c>
      <c r="G105" s="46" t="str">
        <f t="shared" si="33"/>
        <v>24,464.70</v>
      </c>
      <c r="H105" s="47" t="str">
        <f t="shared" si="27"/>
        <v>308,922.577</v>
      </c>
      <c r="I105" s="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ht="31.5" customHeight="1">
      <c r="A106" s="39" t="s">
        <v>169</v>
      </c>
      <c r="B106" s="39"/>
      <c r="C106" s="41" t="s">
        <v>170</v>
      </c>
      <c r="D106" s="64" t="str">
        <f t="shared" ref="D106:G106" si="34">D104+D105</f>
        <v>1,853,802.24</v>
      </c>
      <c r="E106" s="64" t="str">
        <f t="shared" si="34"/>
        <v>10,814.02</v>
      </c>
      <c r="F106" s="64" t="str">
        <f t="shared" si="34"/>
        <v>163.15</v>
      </c>
      <c r="G106" s="64" t="str">
        <f t="shared" si="34"/>
        <v>160,379.72</v>
      </c>
      <c r="H106" s="86" t="str">
        <f t="shared" si="27"/>
        <v>2,025,159.116</v>
      </c>
      <c r="I106" s="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ht="28.5" customHeight="1">
      <c r="A107" s="39" t="s">
        <v>171</v>
      </c>
      <c r="B107" s="83" t="s">
        <v>172</v>
      </c>
      <c r="C107" s="85" t="s">
        <v>173</v>
      </c>
      <c r="D107" s="46" t="str">
        <f t="shared" ref="D107:E107" si="35">D64*0.0015*6.5*1.18</f>
        <v>2,444.79</v>
      </c>
      <c r="E107" s="46" t="str">
        <f t="shared" si="35"/>
        <v>14.26</v>
      </c>
      <c r="F107" s="46" t="str">
        <f>F64*0.0015*3.67*1.18</f>
        <v>0.22</v>
      </c>
      <c r="G107" s="46"/>
      <c r="H107" s="77" t="str">
        <f t="shared" si="27"/>
        <v>2459.27</v>
      </c>
      <c r="I107" s="66" t="s">
        <v>174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ht="12.75" customHeight="1">
      <c r="A109" s="1"/>
      <c r="B109" s="1"/>
      <c r="C109" s="1"/>
      <c r="D109" s="1"/>
      <c r="E109" s="1"/>
      <c r="F109" s="1"/>
      <c r="G109" s="1"/>
      <c r="H109" s="87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ht="15.75" customHeight="1">
      <c r="A110" s="4"/>
      <c r="B110" s="4" t="s">
        <v>175</v>
      </c>
      <c r="C110" s="4"/>
      <c r="D110" s="4"/>
      <c r="E110" s="4"/>
      <c r="F110" s="4"/>
      <c r="G110" s="4"/>
      <c r="H110" s="4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ht="12.75" customHeight="1">
      <c r="A111" s="1"/>
      <c r="B111" s="1"/>
      <c r="C111" s="1"/>
      <c r="D111" s="1" t="s">
        <v>176</v>
      </c>
      <c r="E111" s="1"/>
      <c r="F111" s="1"/>
      <c r="G111" s="1"/>
      <c r="H111" s="1"/>
      <c r="I111" s="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ht="15.75" customHeight="1">
      <c r="A114" s="4"/>
      <c r="B114" s="4" t="s">
        <v>177</v>
      </c>
      <c r="C114" s="4"/>
      <c r="D114" s="4"/>
      <c r="E114" s="4"/>
      <c r="F114" s="4"/>
      <c r="G114" s="4"/>
      <c r="H114" s="4"/>
      <c r="I114" s="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ht="12.75" customHeight="1">
      <c r="A115" s="1"/>
      <c r="B115" s="1"/>
      <c r="C115" s="1"/>
      <c r="D115" s="1" t="s">
        <v>176</v>
      </c>
      <c r="E115" s="1"/>
      <c r="F115" s="1"/>
      <c r="G115" s="1"/>
      <c r="H115" s="1"/>
      <c r="I115" s="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ht="15.75" customHeight="1">
      <c r="A118" s="4"/>
      <c r="B118" s="4" t="s">
        <v>178</v>
      </c>
      <c r="C118" s="4"/>
      <c r="D118" s="4"/>
      <c r="E118" s="4"/>
      <c r="F118" s="4"/>
      <c r="G118" s="4"/>
      <c r="H118" s="4"/>
      <c r="I118" s="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ht="12.75" customHeight="1">
      <c r="A119" s="1"/>
      <c r="B119" s="1"/>
      <c r="C119" s="1" t="s">
        <v>179</v>
      </c>
      <c r="D119" s="1" t="s">
        <v>176</v>
      </c>
      <c r="E119" s="1"/>
      <c r="F119" s="1"/>
      <c r="G119" s="1"/>
      <c r="H119" s="1"/>
      <c r="I119" s="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ht="15.75" customHeight="1">
      <c r="A122" s="4"/>
      <c r="B122" s="4" t="s">
        <v>180</v>
      </c>
      <c r="C122" s="4"/>
      <c r="D122" s="4"/>
      <c r="E122" s="4"/>
      <c r="F122" s="4"/>
      <c r="G122" s="4"/>
      <c r="H122" s="4"/>
      <c r="I122" s="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ht="12.75" customHeight="1">
      <c r="A123" s="1"/>
      <c r="B123" s="1"/>
      <c r="C123" s="1"/>
      <c r="D123" s="1" t="s">
        <v>181</v>
      </c>
      <c r="E123" s="1"/>
      <c r="F123" s="1"/>
      <c r="G123" s="1"/>
      <c r="H123" s="1"/>
      <c r="I123" s="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</sheetData>
  <mergeCells count="44">
    <mergeCell ref="CC19:CJ19"/>
    <mergeCell ref="DI19:DP19"/>
    <mergeCell ref="CK19:CR19"/>
    <mergeCell ref="DQ19:DX19"/>
    <mergeCell ref="HY19:IF19"/>
    <mergeCell ref="IG19:IN19"/>
    <mergeCell ref="IO19:IV19"/>
    <mergeCell ref="GK19:GR19"/>
    <mergeCell ref="GS19:GZ19"/>
    <mergeCell ref="EO19:EV19"/>
    <mergeCell ref="EW19:FD19"/>
    <mergeCell ref="BM19:BT19"/>
    <mergeCell ref="BU19:CB19"/>
    <mergeCell ref="HI19:HP19"/>
    <mergeCell ref="HQ19:HX19"/>
    <mergeCell ref="GC19:GJ19"/>
    <mergeCell ref="DY19:EF19"/>
    <mergeCell ref="EG19:EN19"/>
    <mergeCell ref="HA19:HH19"/>
    <mergeCell ref="I88:I99"/>
    <mergeCell ref="I85:I87"/>
    <mergeCell ref="A11:H11"/>
    <mergeCell ref="I27:I29"/>
    <mergeCell ref="I33:I36"/>
    <mergeCell ref="A23:A24"/>
    <mergeCell ref="B23:B24"/>
    <mergeCell ref="C23:C24"/>
    <mergeCell ref="H23:H24"/>
    <mergeCell ref="D23:G23"/>
    <mergeCell ref="AG19:AN19"/>
    <mergeCell ref="AO19:AV19"/>
    <mergeCell ref="AW19:BD19"/>
    <mergeCell ref="BE19:BL19"/>
    <mergeCell ref="CS19:CZ19"/>
    <mergeCell ref="DA19:DH19"/>
    <mergeCell ref="A12:H12"/>
    <mergeCell ref="A18:H18"/>
    <mergeCell ref="Y19:AF19"/>
    <mergeCell ref="A19:H19"/>
    <mergeCell ref="I19:P19"/>
    <mergeCell ref="Q19:X19"/>
    <mergeCell ref="FM19:FT19"/>
    <mergeCell ref="FU19:GB19"/>
    <mergeCell ref="FE19:FL1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 outlineLevelCol="1"/>
  <cols>
    <col customWidth="1" min="1" max="1" width="5.25"/>
    <col customWidth="1" min="2" max="2" width="23.63"/>
    <col customWidth="1" min="3" max="3" width="36.63"/>
    <col customWidth="1" min="4" max="4" width="13.38"/>
    <col customWidth="1" min="5" max="5" width="10.13"/>
    <col customWidth="1" min="6" max="6" width="12.75"/>
    <col customWidth="1" min="7" max="7" width="11.13"/>
    <col customWidth="1" min="8" max="8" width="16.25"/>
    <col customWidth="1" hidden="1" min="9" max="9" width="42.63" outlineLevel="1"/>
    <col customWidth="1" hidden="1" min="10" max="10" width="1.63" outlineLevel="1"/>
    <col customWidth="1" min="11" max="11" width="12.88" outlineLevel="1"/>
    <col customWidth="1" min="12" max="12" width="17.63" outlineLevel="1"/>
    <col customWidth="1" min="13" max="13" width="13.13" outlineLevel="1"/>
    <col collapsed="1" customWidth="1" min="14" max="14" width="17.25"/>
    <col customWidth="1" min="15" max="15" width="15.88"/>
    <col customWidth="1" min="16" max="16" width="14.88"/>
    <col customWidth="1" min="17" max="17" width="9.13"/>
  </cols>
  <sheetData>
    <row r="1" ht="30.0" customHeight="1">
      <c r="A1" s="88"/>
      <c r="B1" s="88"/>
      <c r="C1" s="88"/>
      <c r="D1" s="89"/>
      <c r="E1" s="89"/>
      <c r="F1" s="90"/>
      <c r="G1" s="90"/>
      <c r="H1" s="91" t="s">
        <v>182</v>
      </c>
      <c r="O1" s="92"/>
      <c r="P1" s="1"/>
      <c r="Q1" s="1"/>
    </row>
    <row r="2" ht="12.75" customHeight="1">
      <c r="A2" s="88"/>
      <c r="B2" s="88"/>
      <c r="C2" s="88"/>
      <c r="D2" s="89"/>
      <c r="E2" s="89"/>
      <c r="F2" s="89"/>
      <c r="G2" s="89"/>
      <c r="H2" s="89"/>
      <c r="I2" s="93"/>
      <c r="J2" s="93"/>
      <c r="K2" s="94"/>
      <c r="L2" s="95"/>
      <c r="M2" s="96"/>
      <c r="N2" s="95"/>
      <c r="O2" s="92"/>
      <c r="P2" s="1"/>
      <c r="Q2" s="1"/>
    </row>
    <row r="3" ht="12.75" customHeight="1">
      <c r="A3" s="88"/>
      <c r="B3" s="88"/>
      <c r="C3" s="88"/>
      <c r="D3" s="89"/>
      <c r="E3" s="89"/>
      <c r="F3" s="89"/>
      <c r="G3" s="89"/>
      <c r="H3" s="89"/>
      <c r="I3" s="93"/>
      <c r="J3" s="93"/>
      <c r="K3" s="95"/>
      <c r="L3" s="95"/>
      <c r="M3" s="96"/>
      <c r="N3" s="95"/>
      <c r="O3" s="92"/>
      <c r="P3" s="1"/>
      <c r="Q3" s="1"/>
    </row>
    <row r="4" ht="12.75" customHeight="1">
      <c r="A4" s="88"/>
      <c r="B4" s="88"/>
      <c r="C4" s="88"/>
      <c r="D4" s="89"/>
      <c r="E4" s="89"/>
      <c r="F4" s="89"/>
      <c r="G4" s="89"/>
      <c r="H4" s="89"/>
      <c r="I4" s="93"/>
      <c r="J4" s="93"/>
      <c r="K4" s="95"/>
      <c r="L4" s="95"/>
      <c r="M4" s="96"/>
      <c r="N4" s="95"/>
      <c r="O4" s="92"/>
      <c r="P4" s="1"/>
      <c r="Q4" s="1"/>
    </row>
    <row r="5" ht="12.75" customHeight="1">
      <c r="A5" s="88"/>
      <c r="B5" s="88"/>
      <c r="C5" s="88"/>
      <c r="D5" s="89"/>
      <c r="E5" s="89"/>
      <c r="F5" s="89"/>
      <c r="G5" s="89"/>
      <c r="H5" s="89"/>
      <c r="I5" s="93"/>
      <c r="J5" s="93"/>
      <c r="K5" s="95"/>
      <c r="L5" s="95"/>
      <c r="M5" s="96"/>
      <c r="N5" s="95"/>
      <c r="O5" s="92"/>
      <c r="P5" s="1"/>
      <c r="Q5" s="1"/>
    </row>
    <row r="6" ht="18.75" customHeight="1">
      <c r="A6" s="97" t="s">
        <v>183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O6" s="92"/>
      <c r="P6" s="1"/>
      <c r="Q6" s="1"/>
    </row>
    <row r="7" ht="40.5" customHeight="1">
      <c r="A7" s="100" t="s">
        <v>184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O7" s="92"/>
      <c r="P7" s="1"/>
      <c r="Q7" s="1"/>
    </row>
    <row r="8" ht="12.75" customHeight="1">
      <c r="A8" s="88" t="s">
        <v>185</v>
      </c>
      <c r="B8" s="101"/>
      <c r="C8" s="101"/>
      <c r="D8" s="102"/>
      <c r="E8" s="102"/>
      <c r="F8" s="102"/>
      <c r="G8" s="102"/>
      <c r="H8" s="102"/>
      <c r="I8" s="93"/>
      <c r="J8" s="93"/>
      <c r="K8" s="95"/>
      <c r="L8" s="95"/>
      <c r="M8" s="96"/>
      <c r="N8" s="95"/>
      <c r="O8" s="92"/>
      <c r="P8" s="1"/>
      <c r="Q8" s="1"/>
    </row>
    <row r="9" ht="12.75" customHeight="1">
      <c r="A9" s="88"/>
      <c r="B9" s="88"/>
      <c r="C9" s="88"/>
      <c r="D9" s="89"/>
      <c r="E9" s="89"/>
      <c r="F9" s="103" t="str">
        <f>N116</f>
        <v>2,851,370.567</v>
      </c>
      <c r="G9" s="19"/>
      <c r="H9" s="102" t="s">
        <v>10</v>
      </c>
      <c r="I9" s="93"/>
      <c r="J9" s="93"/>
      <c r="K9" s="95"/>
      <c r="L9" s="95"/>
      <c r="M9" s="96"/>
      <c r="N9" s="95"/>
      <c r="O9" s="92"/>
      <c r="P9" s="1"/>
      <c r="Q9" s="1"/>
    </row>
    <row r="10" ht="12.75" customHeight="1">
      <c r="A10" s="104" t="s">
        <v>11</v>
      </c>
      <c r="B10" s="104" t="s">
        <v>186</v>
      </c>
      <c r="C10" s="104" t="s">
        <v>13</v>
      </c>
      <c r="D10" s="105" t="s">
        <v>14</v>
      </c>
      <c r="E10" s="33"/>
      <c r="F10" s="33"/>
      <c r="G10" s="34"/>
      <c r="H10" s="104" t="s">
        <v>15</v>
      </c>
      <c r="I10" s="93"/>
      <c r="J10" s="93"/>
      <c r="K10" s="105" t="s">
        <v>187</v>
      </c>
      <c r="L10" s="33"/>
      <c r="M10" s="33"/>
      <c r="N10" s="34"/>
      <c r="O10" s="92"/>
      <c r="P10" s="1"/>
      <c r="Q10" s="1"/>
    </row>
    <row r="11" ht="38.25" customHeight="1">
      <c r="A11" s="35"/>
      <c r="B11" s="35"/>
      <c r="C11" s="35"/>
      <c r="D11" s="106" t="s">
        <v>16</v>
      </c>
      <c r="E11" s="106" t="s">
        <v>17</v>
      </c>
      <c r="F11" s="106" t="s">
        <v>188</v>
      </c>
      <c r="G11" s="106" t="s">
        <v>19</v>
      </c>
      <c r="H11" s="35"/>
      <c r="I11" s="93"/>
      <c r="J11" s="93"/>
      <c r="K11" s="107" t="s">
        <v>189</v>
      </c>
      <c r="L11" s="107" t="s">
        <v>190</v>
      </c>
      <c r="M11" s="108" t="s">
        <v>191</v>
      </c>
      <c r="N11" s="109" t="s">
        <v>192</v>
      </c>
      <c r="O11" s="92"/>
      <c r="P11" s="1"/>
      <c r="Q11" s="1"/>
    </row>
    <row r="12" ht="12.75" customHeight="1">
      <c r="A12" s="110">
        <v>1.0</v>
      </c>
      <c r="B12" s="110">
        <v>2.0</v>
      </c>
      <c r="C12" s="110">
        <v>3.0</v>
      </c>
      <c r="D12" s="110">
        <v>4.0</v>
      </c>
      <c r="E12" s="110">
        <v>5.0</v>
      </c>
      <c r="F12" s="110">
        <v>6.0</v>
      </c>
      <c r="G12" s="110">
        <v>7.0</v>
      </c>
      <c r="H12" s="110">
        <v>8.0</v>
      </c>
      <c r="I12" s="93"/>
      <c r="J12" s="93"/>
      <c r="K12" s="111">
        <v>9.0</v>
      </c>
      <c r="L12" s="111" t="s">
        <v>193</v>
      </c>
      <c r="M12" s="111" t="s">
        <v>194</v>
      </c>
      <c r="N12" s="111" t="s">
        <v>195</v>
      </c>
      <c r="O12" s="92"/>
      <c r="P12" s="1"/>
      <c r="Q12" s="1"/>
    </row>
    <row r="13" ht="12.75" customHeight="1">
      <c r="A13" s="112" t="s">
        <v>20</v>
      </c>
      <c r="B13" s="112"/>
      <c r="C13" s="113" t="s">
        <v>21</v>
      </c>
      <c r="D13" s="110"/>
      <c r="E13" s="110"/>
      <c r="F13" s="110"/>
      <c r="G13" s="110"/>
      <c r="H13" s="110"/>
      <c r="I13" s="93"/>
      <c r="J13" s="93"/>
      <c r="K13" s="109"/>
      <c r="L13" s="109"/>
      <c r="M13" s="114"/>
      <c r="N13" s="109"/>
      <c r="O13" s="92"/>
      <c r="P13" s="1"/>
      <c r="Q13" s="1"/>
    </row>
    <row r="14" ht="12.75" customHeight="1">
      <c r="A14" s="112"/>
      <c r="B14" s="112"/>
      <c r="C14" s="115" t="s">
        <v>22</v>
      </c>
      <c r="D14" s="110"/>
      <c r="E14" s="110"/>
      <c r="F14" s="110"/>
      <c r="G14" s="110"/>
      <c r="H14" s="110"/>
      <c r="I14" s="116" t="s">
        <v>23</v>
      </c>
      <c r="J14" s="93"/>
      <c r="K14" s="109"/>
      <c r="L14" s="109"/>
      <c r="M14" s="114"/>
      <c r="N14" s="109"/>
      <c r="O14" s="92"/>
      <c r="P14" s="1"/>
      <c r="Q14" s="1"/>
    </row>
    <row r="15" ht="27.0" customHeight="1">
      <c r="A15" s="117" t="s">
        <v>196</v>
      </c>
      <c r="B15" s="118" t="s">
        <v>197</v>
      </c>
      <c r="C15" s="119" t="s">
        <v>198</v>
      </c>
      <c r="D15" s="109">
        <v>0.0</v>
      </c>
      <c r="E15" s="109">
        <v>0.0</v>
      </c>
      <c r="F15" s="109">
        <v>0.0</v>
      </c>
      <c r="G15" s="109">
        <v>142.75399</v>
      </c>
      <c r="H15" s="109" t="str">
        <f t="shared" ref="H15:H22" si="1">SUM(D15:G15)</f>
        <v>142.75</v>
      </c>
      <c r="I15" s="48"/>
      <c r="J15" s="93"/>
      <c r="K15" s="109" t="str">
        <f t="shared" ref="K15:K17" si="2">H15</f>
        <v>142.75</v>
      </c>
      <c r="L15" s="109" t="str">
        <f>K15*1.18</f>
        <v>168.45</v>
      </c>
      <c r="M15" s="114">
        <v>1.0</v>
      </c>
      <c r="N15" s="109" t="str">
        <f>L15</f>
        <v>168.45</v>
      </c>
      <c r="O15" s="92"/>
      <c r="P15" s="1"/>
      <c r="Q15" s="1"/>
    </row>
    <row r="16" ht="45.0" customHeight="1">
      <c r="A16" s="117" t="s">
        <v>199</v>
      </c>
      <c r="B16" s="118" t="s">
        <v>200</v>
      </c>
      <c r="C16" s="119" t="s">
        <v>201</v>
      </c>
      <c r="D16" s="109">
        <v>0.0</v>
      </c>
      <c r="E16" s="109">
        <v>0.0</v>
      </c>
      <c r="F16" s="109">
        <v>0.0</v>
      </c>
      <c r="G16" s="109" t="str">
        <f>227.375*32</f>
        <v>7,276.00</v>
      </c>
      <c r="H16" s="109" t="str">
        <f t="shared" si="1"/>
        <v>7,276.00</v>
      </c>
      <c r="I16" s="120"/>
      <c r="J16" s="93"/>
      <c r="K16" s="109" t="str">
        <f t="shared" si="2"/>
        <v>7,276.00</v>
      </c>
      <c r="L16" s="109" t="str">
        <f>K16</f>
        <v>7,276.00</v>
      </c>
      <c r="M16" s="114">
        <v>0.95</v>
      </c>
      <c r="N16" s="109">
        <v>6928.96</v>
      </c>
      <c r="O16" s="92"/>
      <c r="P16" s="1"/>
      <c r="Q16" s="1"/>
    </row>
    <row r="17" ht="41.25" customHeight="1">
      <c r="A17" s="117" t="s">
        <v>24</v>
      </c>
      <c r="B17" s="118" t="s">
        <v>202</v>
      </c>
      <c r="C17" s="119" t="s">
        <v>203</v>
      </c>
      <c r="D17" s="109">
        <v>0.0</v>
      </c>
      <c r="E17" s="109">
        <v>0.0</v>
      </c>
      <c r="F17" s="109">
        <v>0.0</v>
      </c>
      <c r="G17" s="109" t="str">
        <f>165/1.18*32</f>
        <v>4,474.58</v>
      </c>
      <c r="H17" s="109" t="str">
        <f t="shared" si="1"/>
        <v>4,474.58</v>
      </c>
      <c r="I17" s="120"/>
      <c r="J17" s="93"/>
      <c r="K17" s="109" t="str">
        <f t="shared" si="2"/>
        <v>4,474.58</v>
      </c>
      <c r="L17" s="109" t="str">
        <f t="shared" ref="L17:L19" si="3">K17*1.18</f>
        <v>5,280.00</v>
      </c>
      <c r="M17" s="114">
        <v>0.31</v>
      </c>
      <c r="N17" s="109">
        <v>1654.54</v>
      </c>
      <c r="O17" s="92"/>
      <c r="P17" s="1"/>
      <c r="Q17" s="1"/>
    </row>
    <row r="18" ht="28.5" customHeight="1">
      <c r="A18" s="117" t="s">
        <v>27</v>
      </c>
      <c r="B18" s="121" t="s">
        <v>204</v>
      </c>
      <c r="C18" s="119" t="s">
        <v>205</v>
      </c>
      <c r="D18" s="109">
        <v>72.39</v>
      </c>
      <c r="E18" s="109">
        <v>0.0</v>
      </c>
      <c r="F18" s="109">
        <v>0.0</v>
      </c>
      <c r="G18" s="109">
        <v>0.0</v>
      </c>
      <c r="H18" s="109" t="str">
        <f t="shared" si="1"/>
        <v>72.39</v>
      </c>
      <c r="I18" s="120"/>
      <c r="J18" s="93"/>
      <c r="K18" s="109" t="str">
        <f t="shared" ref="K18:K19" si="4">(D18+E18)*1.034</f>
        <v>74.85</v>
      </c>
      <c r="L18" s="109" t="str">
        <f t="shared" si="3"/>
        <v>88.32</v>
      </c>
      <c r="M18" s="114" t="str">
        <f t="shared" ref="M18:M21" si="5">N18/L18</f>
        <v>1.00</v>
      </c>
      <c r="N18" s="109" t="str">
        <f t="shared" ref="N18:N19" si="6">L18</f>
        <v>88.32</v>
      </c>
      <c r="O18" s="92"/>
      <c r="P18" s="1"/>
      <c r="Q18" s="1"/>
    </row>
    <row r="19" ht="28.5" customHeight="1">
      <c r="A19" s="117" t="s">
        <v>206</v>
      </c>
      <c r="B19" s="121" t="s">
        <v>207</v>
      </c>
      <c r="C19" s="119" t="s">
        <v>208</v>
      </c>
      <c r="D19" s="109">
        <v>434.65</v>
      </c>
      <c r="E19" s="109">
        <v>0.0</v>
      </c>
      <c r="F19" s="109">
        <v>0.0</v>
      </c>
      <c r="G19" s="109">
        <v>0.0</v>
      </c>
      <c r="H19" s="109" t="str">
        <f t="shared" si="1"/>
        <v>434.65</v>
      </c>
      <c r="I19" s="120"/>
      <c r="J19" s="93"/>
      <c r="K19" s="109" t="str">
        <f t="shared" si="4"/>
        <v>449.43</v>
      </c>
      <c r="L19" s="109" t="str">
        <f t="shared" si="3"/>
        <v>530.33</v>
      </c>
      <c r="M19" s="114" t="str">
        <f t="shared" si="5"/>
        <v>1.00</v>
      </c>
      <c r="N19" s="109" t="str">
        <f t="shared" si="6"/>
        <v>530.33</v>
      </c>
      <c r="O19" s="92"/>
      <c r="P19" s="1"/>
      <c r="Q19" s="1"/>
    </row>
    <row r="20" ht="28.5" customHeight="1">
      <c r="A20" s="117" t="s">
        <v>209</v>
      </c>
      <c r="B20" s="121" t="s">
        <v>210</v>
      </c>
      <c r="C20" s="122" t="s">
        <v>211</v>
      </c>
      <c r="D20" s="109">
        <v>0.0</v>
      </c>
      <c r="E20" s="109">
        <v>0.0</v>
      </c>
      <c r="F20" s="109">
        <v>0.0</v>
      </c>
      <c r="G20" s="109">
        <v>17034.401</v>
      </c>
      <c r="H20" s="109" t="str">
        <f t="shared" si="1"/>
        <v>17,034.40</v>
      </c>
      <c r="I20" s="120"/>
      <c r="J20" s="93"/>
      <c r="K20" s="109" t="str">
        <f t="shared" ref="K20:K21" si="7">H20</f>
        <v>17,034.40</v>
      </c>
      <c r="L20" s="109" t="str">
        <f>K20</f>
        <v>17,034.40</v>
      </c>
      <c r="M20" s="114" t="str">
        <f t="shared" si="5"/>
        <v>0.96</v>
      </c>
      <c r="N20" s="109">
        <v>16364.67</v>
      </c>
      <c r="O20" s="92"/>
      <c r="P20" s="1"/>
      <c r="Q20" s="1"/>
    </row>
    <row r="21" ht="28.5" customHeight="1">
      <c r="A21" s="117" t="s">
        <v>212</v>
      </c>
      <c r="B21" s="123" t="s">
        <v>213</v>
      </c>
      <c r="C21" s="119" t="s">
        <v>214</v>
      </c>
      <c r="D21" s="109">
        <v>0.0</v>
      </c>
      <c r="E21" s="109">
        <v>0.0</v>
      </c>
      <c r="F21" s="109">
        <v>0.0</v>
      </c>
      <c r="G21" s="109" t="str">
        <f>259.943</f>
        <v>259.94</v>
      </c>
      <c r="H21" s="109" t="str">
        <f t="shared" si="1"/>
        <v>259.94</v>
      </c>
      <c r="I21" s="120"/>
      <c r="J21" s="93"/>
      <c r="K21" s="109" t="str">
        <f t="shared" si="7"/>
        <v>259.94</v>
      </c>
      <c r="L21" s="109" t="str">
        <f>K21*1.18</f>
        <v>306.73</v>
      </c>
      <c r="M21" s="114" t="str">
        <f t="shared" si="5"/>
        <v>1.00</v>
      </c>
      <c r="N21" s="109">
        <v>306.73</v>
      </c>
      <c r="O21" s="92"/>
      <c r="P21" s="1"/>
      <c r="Q21" s="1"/>
    </row>
    <row r="22" ht="24.0" customHeight="1">
      <c r="A22" s="124"/>
      <c r="B22" s="125"/>
      <c r="C22" s="126" t="s">
        <v>29</v>
      </c>
      <c r="D22" s="127" t="str">
        <f t="shared" ref="D22:G22" si="8">SUM(D15:D21)</f>
        <v>507.04</v>
      </c>
      <c r="E22" s="127" t="str">
        <f t="shared" si="8"/>
        <v>0.00</v>
      </c>
      <c r="F22" s="127" t="str">
        <f t="shared" si="8"/>
        <v>0.00</v>
      </c>
      <c r="G22" s="127" t="str">
        <f t="shared" si="8"/>
        <v>29,187.67</v>
      </c>
      <c r="H22" s="127" t="str">
        <f t="shared" si="1"/>
        <v>29,694.71</v>
      </c>
      <c r="I22" s="128"/>
      <c r="J22" s="128"/>
      <c r="K22" s="127" t="str">
        <f t="shared" ref="K22:L22" si="9">SUM(K15:K21)</f>
        <v>29,711.95</v>
      </c>
      <c r="L22" s="127" t="str">
        <f t="shared" si="9"/>
        <v>30,684.23</v>
      </c>
      <c r="M22" s="114"/>
      <c r="N22" s="127" t="str">
        <f>SUM(N15:N21)</f>
        <v>26,042.00</v>
      </c>
      <c r="O22" s="129"/>
      <c r="P22" s="128"/>
      <c r="Q22" s="128"/>
    </row>
    <row r="23" ht="12.75" customHeight="1">
      <c r="A23" s="112" t="s">
        <v>30</v>
      </c>
      <c r="B23" s="130"/>
      <c r="C23" s="113" t="s">
        <v>31</v>
      </c>
      <c r="D23" s="110"/>
      <c r="E23" s="110"/>
      <c r="F23" s="110"/>
      <c r="G23" s="110"/>
      <c r="H23" s="110"/>
      <c r="I23" s="93"/>
      <c r="J23" s="93"/>
      <c r="K23" s="109"/>
      <c r="L23" s="109"/>
      <c r="M23" s="114"/>
      <c r="N23" s="109"/>
      <c r="O23" s="92"/>
      <c r="P23" s="1"/>
      <c r="Q23" s="1"/>
    </row>
    <row r="24" ht="12.75" customHeight="1">
      <c r="A24" s="112"/>
      <c r="B24" s="130"/>
      <c r="C24" s="113" t="s">
        <v>32</v>
      </c>
      <c r="D24" s="110"/>
      <c r="E24" s="110"/>
      <c r="F24" s="110"/>
      <c r="G24" s="110"/>
      <c r="H24" s="110"/>
      <c r="I24" s="93"/>
      <c r="J24" s="93"/>
      <c r="K24" s="109"/>
      <c r="L24" s="109"/>
      <c r="M24" s="114"/>
      <c r="N24" s="109"/>
      <c r="O24" s="92"/>
      <c r="P24" s="1"/>
      <c r="Q24" s="1"/>
    </row>
    <row r="25" ht="30.0" customHeight="1">
      <c r="A25" s="131" t="s">
        <v>33</v>
      </c>
      <c r="B25" s="121" t="s">
        <v>215</v>
      </c>
      <c r="C25" s="132" t="s">
        <v>216</v>
      </c>
      <c r="D25" s="133">
        <v>18355.96</v>
      </c>
      <c r="E25" s="133">
        <v>44.84</v>
      </c>
      <c r="F25" s="109">
        <v>0.0</v>
      </c>
      <c r="G25" s="109">
        <v>0.0</v>
      </c>
      <c r="H25" s="109" t="str">
        <f t="shared" ref="H25:H31" si="10">D25+E25+F25+G25</f>
        <v>18,400.80</v>
      </c>
      <c r="I25" s="120"/>
      <c r="J25" s="93"/>
      <c r="K25" s="109" t="str">
        <f t="shared" ref="K25:K32" si="11">(D25+E25)*1.034</f>
        <v>19,026.43</v>
      </c>
      <c r="L25" s="109" t="str">
        <f t="shared" ref="L25:L32" si="12">((D25+E25)*1.034+F25+G25)*1.18</f>
        <v>22,451.18</v>
      </c>
      <c r="M25" s="114" t="str">
        <f t="shared" ref="M25:M42" si="13">N25/L25</f>
        <v>1.00</v>
      </c>
      <c r="N25" s="109" t="str">
        <f t="shared" ref="N25:N43" si="14">L25</f>
        <v>22,451.18</v>
      </c>
      <c r="O25" s="92"/>
      <c r="P25" s="1"/>
      <c r="Q25" s="1"/>
    </row>
    <row r="26" ht="30.0" customHeight="1">
      <c r="A26" s="131" t="s">
        <v>36</v>
      </c>
      <c r="B26" s="121" t="s">
        <v>217</v>
      </c>
      <c r="C26" s="132" t="s">
        <v>218</v>
      </c>
      <c r="D26" s="133">
        <v>9429.9</v>
      </c>
      <c r="E26" s="133">
        <v>19.69</v>
      </c>
      <c r="F26" s="133">
        <v>0.0</v>
      </c>
      <c r="G26" s="109">
        <v>0.0</v>
      </c>
      <c r="H26" s="109" t="str">
        <f t="shared" si="10"/>
        <v>9,449.59</v>
      </c>
      <c r="I26" s="120"/>
      <c r="J26" s="93"/>
      <c r="K26" s="109" t="str">
        <f t="shared" si="11"/>
        <v>9,770.88</v>
      </c>
      <c r="L26" s="109" t="str">
        <f t="shared" si="12"/>
        <v>11,529.63</v>
      </c>
      <c r="M26" s="114" t="str">
        <f t="shared" si="13"/>
        <v>1.00</v>
      </c>
      <c r="N26" s="109" t="str">
        <f t="shared" si="14"/>
        <v>11,529.63</v>
      </c>
      <c r="O26" s="92"/>
      <c r="P26" s="1"/>
      <c r="Q26" s="1"/>
    </row>
    <row r="27" ht="30.0" customHeight="1">
      <c r="A27" s="131" t="s">
        <v>39</v>
      </c>
      <c r="B27" s="121" t="s">
        <v>219</v>
      </c>
      <c r="C27" s="132" t="s">
        <v>220</v>
      </c>
      <c r="D27" s="133">
        <v>357.17</v>
      </c>
      <c r="E27" s="109">
        <v>0.0</v>
      </c>
      <c r="F27" s="109">
        <v>0.0</v>
      </c>
      <c r="G27" s="109">
        <v>0.0</v>
      </c>
      <c r="H27" s="109" t="str">
        <f t="shared" si="10"/>
        <v>357.17</v>
      </c>
      <c r="I27" s="120"/>
      <c r="J27" s="93"/>
      <c r="K27" s="109" t="str">
        <f t="shared" si="11"/>
        <v>369.31</v>
      </c>
      <c r="L27" s="109" t="str">
        <f t="shared" si="12"/>
        <v>435.79</v>
      </c>
      <c r="M27" s="114" t="str">
        <f t="shared" si="13"/>
        <v>1.00</v>
      </c>
      <c r="N27" s="109" t="str">
        <f t="shared" si="14"/>
        <v>435.79</v>
      </c>
      <c r="O27" s="92"/>
      <c r="P27" s="1"/>
      <c r="Q27" s="1"/>
    </row>
    <row r="28" ht="30.0" customHeight="1">
      <c r="A28" s="131" t="s">
        <v>42</v>
      </c>
      <c r="B28" s="121" t="s">
        <v>221</v>
      </c>
      <c r="C28" s="132" t="s">
        <v>222</v>
      </c>
      <c r="D28" s="133">
        <v>4715.43</v>
      </c>
      <c r="E28" s="109">
        <v>0.0</v>
      </c>
      <c r="F28" s="109">
        <v>0.0</v>
      </c>
      <c r="G28" s="109">
        <v>0.0</v>
      </c>
      <c r="H28" s="109" t="str">
        <f t="shared" si="10"/>
        <v>4,715.43</v>
      </c>
      <c r="I28" s="120"/>
      <c r="J28" s="93"/>
      <c r="K28" s="109" t="str">
        <f t="shared" si="11"/>
        <v>4,875.75</v>
      </c>
      <c r="L28" s="109" t="str">
        <f t="shared" si="12"/>
        <v>5,753.39</v>
      </c>
      <c r="M28" s="114" t="str">
        <f t="shared" si="13"/>
        <v>1.00</v>
      </c>
      <c r="N28" s="109" t="str">
        <f t="shared" si="14"/>
        <v>5,753.39</v>
      </c>
      <c r="O28" s="92"/>
      <c r="P28" s="1"/>
      <c r="Q28" s="1"/>
    </row>
    <row r="29" ht="30.0" customHeight="1">
      <c r="A29" s="131" t="s">
        <v>223</v>
      </c>
      <c r="B29" s="121" t="s">
        <v>224</v>
      </c>
      <c r="C29" s="132" t="s">
        <v>225</v>
      </c>
      <c r="D29" s="133">
        <v>446.99</v>
      </c>
      <c r="E29" s="109">
        <v>0.0</v>
      </c>
      <c r="F29" s="109">
        <v>0.0</v>
      </c>
      <c r="G29" s="109">
        <v>0.0</v>
      </c>
      <c r="H29" s="109" t="str">
        <f t="shared" si="10"/>
        <v>446.99</v>
      </c>
      <c r="I29" s="120"/>
      <c r="J29" s="93"/>
      <c r="K29" s="109" t="str">
        <f t="shared" si="11"/>
        <v>462.19</v>
      </c>
      <c r="L29" s="109" t="str">
        <f t="shared" si="12"/>
        <v>545.38</v>
      </c>
      <c r="M29" s="114" t="str">
        <f t="shared" si="13"/>
        <v>1.00</v>
      </c>
      <c r="N29" s="109" t="str">
        <f t="shared" si="14"/>
        <v>545.38</v>
      </c>
      <c r="O29" s="92"/>
      <c r="P29" s="1"/>
      <c r="Q29" s="1"/>
    </row>
    <row r="30" ht="30.0" customHeight="1">
      <c r="A30" s="131" t="s">
        <v>226</v>
      </c>
      <c r="B30" s="121" t="s">
        <v>227</v>
      </c>
      <c r="C30" s="132" t="s">
        <v>228</v>
      </c>
      <c r="D30" s="133">
        <v>10232.71</v>
      </c>
      <c r="E30" s="133">
        <v>19.25</v>
      </c>
      <c r="F30" s="109">
        <v>0.0</v>
      </c>
      <c r="G30" s="109">
        <v>0.0</v>
      </c>
      <c r="H30" s="109" t="str">
        <f t="shared" si="10"/>
        <v>10,251.96</v>
      </c>
      <c r="I30" s="120"/>
      <c r="J30" s="93"/>
      <c r="K30" s="109" t="str">
        <f t="shared" si="11"/>
        <v>10,600.53</v>
      </c>
      <c r="L30" s="109" t="str">
        <f t="shared" si="12"/>
        <v>12,508.62</v>
      </c>
      <c r="M30" s="114" t="str">
        <f t="shared" si="13"/>
        <v>1.00</v>
      </c>
      <c r="N30" s="109" t="str">
        <f t="shared" si="14"/>
        <v>12,508.62</v>
      </c>
      <c r="O30" s="92"/>
      <c r="P30" s="1"/>
      <c r="Q30" s="1"/>
    </row>
    <row r="31" ht="30.0" customHeight="1">
      <c r="A31" s="131" t="s">
        <v>229</v>
      </c>
      <c r="B31" s="121" t="s">
        <v>230</v>
      </c>
      <c r="C31" s="132" t="s">
        <v>231</v>
      </c>
      <c r="D31" s="133">
        <v>3141.9</v>
      </c>
      <c r="E31" s="109">
        <v>0.0</v>
      </c>
      <c r="F31" s="109">
        <v>0.0</v>
      </c>
      <c r="G31" s="109">
        <v>0.0</v>
      </c>
      <c r="H31" s="109" t="str">
        <f t="shared" si="10"/>
        <v>3,141.90</v>
      </c>
      <c r="I31" s="120"/>
      <c r="J31" s="93"/>
      <c r="K31" s="109" t="str">
        <f t="shared" si="11"/>
        <v>3,248.72</v>
      </c>
      <c r="L31" s="109" t="str">
        <f t="shared" si="12"/>
        <v>3,833.50</v>
      </c>
      <c r="M31" s="114" t="str">
        <f t="shared" si="13"/>
        <v>1.00</v>
      </c>
      <c r="N31" s="109" t="str">
        <f t="shared" si="14"/>
        <v>3,833.50</v>
      </c>
      <c r="O31" s="92"/>
      <c r="P31" s="1"/>
      <c r="Q31" s="1"/>
    </row>
    <row r="32" ht="66.0" customHeight="1">
      <c r="A32" s="131" t="s">
        <v>232</v>
      </c>
      <c r="B32" s="134" t="s">
        <v>233</v>
      </c>
      <c r="C32" s="135" t="s">
        <v>234</v>
      </c>
      <c r="D32" s="133">
        <v>8243.43</v>
      </c>
      <c r="E32" s="109">
        <v>372.68</v>
      </c>
      <c r="F32" s="109">
        <v>0.0</v>
      </c>
      <c r="G32" s="109">
        <v>0.0</v>
      </c>
      <c r="H32" s="109" t="str">
        <f>D32+E32</f>
        <v>8,616.11</v>
      </c>
      <c r="I32" s="120"/>
      <c r="J32" s="93"/>
      <c r="K32" s="109" t="str">
        <f t="shared" si="11"/>
        <v>8,909.06</v>
      </c>
      <c r="L32" s="109" t="str">
        <f t="shared" si="12"/>
        <v>10,512.69</v>
      </c>
      <c r="M32" s="114" t="str">
        <f t="shared" si="13"/>
        <v>1.00</v>
      </c>
      <c r="N32" s="109" t="str">
        <f t="shared" si="14"/>
        <v>10,512.69</v>
      </c>
      <c r="O32" s="92"/>
      <c r="P32" s="1"/>
      <c r="Q32" s="1"/>
    </row>
    <row r="33" ht="75.75" customHeight="1">
      <c r="A33" s="131" t="s">
        <v>235</v>
      </c>
      <c r="B33" s="136" t="s">
        <v>236</v>
      </c>
      <c r="C33" s="135" t="s">
        <v>237</v>
      </c>
      <c r="D33" s="133">
        <v>2719.96</v>
      </c>
      <c r="E33" s="109">
        <v>1633.27</v>
      </c>
      <c r="F33" s="109">
        <v>1852.55</v>
      </c>
      <c r="G33" s="109">
        <v>0.0</v>
      </c>
      <c r="H33" s="109" t="str">
        <f t="shared" ref="H33:H43" si="15">D33+E33+F33+G33</f>
        <v>6,205.78</v>
      </c>
      <c r="I33" s="120"/>
      <c r="J33" s="93"/>
      <c r="K33" s="109" t="str">
        <f t="shared" ref="K33:K42" si="16">(D33+E33)*1.034+F33+G33</f>
        <v>6,353.79</v>
      </c>
      <c r="L33" s="109" t="str">
        <f t="shared" ref="L33:L42" si="17">K33*1.18</f>
        <v>7,497.47</v>
      </c>
      <c r="M33" s="114" t="str">
        <f t="shared" si="13"/>
        <v>1.00</v>
      </c>
      <c r="N33" s="109" t="str">
        <f t="shared" si="14"/>
        <v>7,497.47</v>
      </c>
      <c r="O33" s="92"/>
      <c r="P33" s="1"/>
      <c r="Q33" s="1"/>
    </row>
    <row r="34" ht="30.0" customHeight="1">
      <c r="A34" s="131" t="s">
        <v>238</v>
      </c>
      <c r="B34" s="121" t="s">
        <v>239</v>
      </c>
      <c r="C34" s="132" t="s">
        <v>240</v>
      </c>
      <c r="D34" s="133">
        <v>550.27</v>
      </c>
      <c r="E34" s="133">
        <v>780.56</v>
      </c>
      <c r="F34" s="133">
        <v>22212.56</v>
      </c>
      <c r="G34" s="109">
        <v>0.0</v>
      </c>
      <c r="H34" s="109" t="str">
        <f t="shared" si="15"/>
        <v>23,543.39</v>
      </c>
      <c r="I34" s="120"/>
      <c r="J34" s="93"/>
      <c r="K34" s="109" t="str">
        <f t="shared" si="16"/>
        <v>23,588.64</v>
      </c>
      <c r="L34" s="109" t="str">
        <f t="shared" si="17"/>
        <v>27,834.59</v>
      </c>
      <c r="M34" s="114" t="str">
        <f t="shared" si="13"/>
        <v>1.00</v>
      </c>
      <c r="N34" s="109" t="str">
        <f t="shared" si="14"/>
        <v>27,834.59</v>
      </c>
      <c r="O34" s="92"/>
      <c r="P34" s="1"/>
      <c r="Q34" s="1"/>
    </row>
    <row r="35" ht="30.0" customHeight="1">
      <c r="A35" s="131" t="s">
        <v>241</v>
      </c>
      <c r="B35" s="121" t="s">
        <v>242</v>
      </c>
      <c r="C35" s="132" t="s">
        <v>243</v>
      </c>
      <c r="D35" s="133">
        <v>4339.22</v>
      </c>
      <c r="E35" s="133">
        <v>3271.47</v>
      </c>
      <c r="F35" s="133">
        <v>1377457.88</v>
      </c>
      <c r="G35" s="109">
        <v>0.0</v>
      </c>
      <c r="H35" s="109" t="str">
        <f t="shared" si="15"/>
        <v>1,385,068.57</v>
      </c>
      <c r="I35" s="120"/>
      <c r="J35" s="93"/>
      <c r="K35" s="109" t="str">
        <f t="shared" si="16"/>
        <v>1,385,327.33</v>
      </c>
      <c r="L35" s="109" t="str">
        <f t="shared" si="17"/>
        <v>1,634,686.25</v>
      </c>
      <c r="M35" s="114" t="str">
        <f t="shared" si="13"/>
        <v>1.00</v>
      </c>
      <c r="N35" s="109" t="str">
        <f t="shared" si="14"/>
        <v>1,634,686.25</v>
      </c>
      <c r="O35" s="92"/>
      <c r="P35" s="1"/>
      <c r="Q35" s="1"/>
    </row>
    <row r="36" ht="30.0" customHeight="1">
      <c r="A36" s="131" t="s">
        <v>244</v>
      </c>
      <c r="B36" s="121" t="s">
        <v>245</v>
      </c>
      <c r="C36" s="132" t="s">
        <v>246</v>
      </c>
      <c r="D36" s="133">
        <v>516.48</v>
      </c>
      <c r="E36" s="133">
        <v>1499.02</v>
      </c>
      <c r="F36" s="109">
        <v>0.0</v>
      </c>
      <c r="G36" s="109">
        <v>0.0</v>
      </c>
      <c r="H36" s="109" t="str">
        <f t="shared" si="15"/>
        <v>2,015.50</v>
      </c>
      <c r="I36" s="120"/>
      <c r="J36" s="93"/>
      <c r="K36" s="109" t="str">
        <f t="shared" si="16"/>
        <v>2,084.03</v>
      </c>
      <c r="L36" s="109" t="str">
        <f t="shared" si="17"/>
        <v>2,459.15</v>
      </c>
      <c r="M36" s="114" t="str">
        <f t="shared" si="13"/>
        <v>1.00</v>
      </c>
      <c r="N36" s="109" t="str">
        <f t="shared" si="14"/>
        <v>2,459.15</v>
      </c>
      <c r="O36" s="92"/>
      <c r="P36" s="1"/>
      <c r="Q36" s="1"/>
    </row>
    <row r="37" ht="30.0" customHeight="1">
      <c r="A37" s="131" t="s">
        <v>247</v>
      </c>
      <c r="B37" s="121" t="s">
        <v>248</v>
      </c>
      <c r="C37" s="132" t="s">
        <v>249</v>
      </c>
      <c r="D37" s="133">
        <v>52212.25</v>
      </c>
      <c r="E37" s="109">
        <v>0.0</v>
      </c>
      <c r="F37" s="109">
        <v>0.0</v>
      </c>
      <c r="G37" s="109">
        <v>0.0</v>
      </c>
      <c r="H37" s="109" t="str">
        <f t="shared" si="15"/>
        <v>52,212.25</v>
      </c>
      <c r="I37" s="120"/>
      <c r="J37" s="93"/>
      <c r="K37" s="109" t="str">
        <f t="shared" si="16"/>
        <v>53,987.47</v>
      </c>
      <c r="L37" s="109" t="str">
        <f t="shared" si="17"/>
        <v>63,705.21</v>
      </c>
      <c r="M37" s="114" t="str">
        <f t="shared" si="13"/>
        <v>1.00</v>
      </c>
      <c r="N37" s="109" t="str">
        <f t="shared" si="14"/>
        <v>63,705.21</v>
      </c>
      <c r="O37" s="92"/>
      <c r="P37" s="1"/>
      <c r="Q37" s="1"/>
    </row>
    <row r="38" ht="30.0" customHeight="1">
      <c r="A38" s="131" t="s">
        <v>250</v>
      </c>
      <c r="B38" s="121" t="s">
        <v>251</v>
      </c>
      <c r="C38" s="132" t="s">
        <v>252</v>
      </c>
      <c r="D38" s="133">
        <v>482.9</v>
      </c>
      <c r="E38" s="109">
        <v>0.0</v>
      </c>
      <c r="F38" s="109">
        <v>0.0</v>
      </c>
      <c r="G38" s="109">
        <v>0.0</v>
      </c>
      <c r="H38" s="109" t="str">
        <f t="shared" si="15"/>
        <v>482.90</v>
      </c>
      <c r="I38" s="120"/>
      <c r="J38" s="93"/>
      <c r="K38" s="109" t="str">
        <f t="shared" si="16"/>
        <v>499.32</v>
      </c>
      <c r="L38" s="109" t="str">
        <f t="shared" si="17"/>
        <v>589.20</v>
      </c>
      <c r="M38" s="114" t="str">
        <f t="shared" si="13"/>
        <v>1.00</v>
      </c>
      <c r="N38" s="109" t="str">
        <f t="shared" si="14"/>
        <v>589.20</v>
      </c>
      <c r="O38" s="92"/>
      <c r="P38" s="1"/>
      <c r="Q38" s="1"/>
    </row>
    <row r="39" ht="43.5" customHeight="1">
      <c r="A39" s="131" t="s">
        <v>253</v>
      </c>
      <c r="B39" s="121" t="s">
        <v>254</v>
      </c>
      <c r="C39" s="135" t="s">
        <v>255</v>
      </c>
      <c r="D39" s="109">
        <v>0.0</v>
      </c>
      <c r="E39" s="133">
        <v>87.64</v>
      </c>
      <c r="F39" s="133">
        <v>333.99</v>
      </c>
      <c r="G39" s="109">
        <v>0.0</v>
      </c>
      <c r="H39" s="109" t="str">
        <f t="shared" si="15"/>
        <v>421.63</v>
      </c>
      <c r="I39" s="120"/>
      <c r="J39" s="93"/>
      <c r="K39" s="109" t="str">
        <f t="shared" si="16"/>
        <v>424.61</v>
      </c>
      <c r="L39" s="109" t="str">
        <f t="shared" si="17"/>
        <v>501.04</v>
      </c>
      <c r="M39" s="114" t="str">
        <f t="shared" si="13"/>
        <v>1.00</v>
      </c>
      <c r="N39" s="109" t="str">
        <f t="shared" si="14"/>
        <v>501.04</v>
      </c>
      <c r="O39" s="92"/>
      <c r="P39" s="1"/>
      <c r="Q39" s="1"/>
    </row>
    <row r="40" ht="60.0" customHeight="1">
      <c r="A40" s="131" t="s">
        <v>256</v>
      </c>
      <c r="B40" s="121" t="s">
        <v>257</v>
      </c>
      <c r="C40" s="135" t="s">
        <v>258</v>
      </c>
      <c r="D40" s="109">
        <v>2.92</v>
      </c>
      <c r="E40" s="133">
        <v>590.91</v>
      </c>
      <c r="F40" s="133">
        <v>1084.51</v>
      </c>
      <c r="G40" s="109">
        <v>1814.42</v>
      </c>
      <c r="H40" s="109" t="str">
        <f t="shared" si="15"/>
        <v>3,492.76</v>
      </c>
      <c r="I40" s="120"/>
      <c r="J40" s="93"/>
      <c r="K40" s="109" t="str">
        <f t="shared" si="16"/>
        <v>3,512.95</v>
      </c>
      <c r="L40" s="109" t="str">
        <f t="shared" si="17"/>
        <v>4,145.28</v>
      </c>
      <c r="M40" s="114" t="str">
        <f t="shared" si="13"/>
        <v>1.00</v>
      </c>
      <c r="N40" s="109" t="str">
        <f t="shared" si="14"/>
        <v>4,145.28</v>
      </c>
      <c r="O40" s="92"/>
      <c r="P40" s="1"/>
      <c r="Q40" s="1"/>
    </row>
    <row r="41" ht="60.75" customHeight="1">
      <c r="A41" s="137" t="s">
        <v>259</v>
      </c>
      <c r="B41" s="121" t="s">
        <v>260</v>
      </c>
      <c r="C41" s="135" t="s">
        <v>261</v>
      </c>
      <c r="D41" s="109">
        <v>36.1</v>
      </c>
      <c r="E41" s="133">
        <v>494.7</v>
      </c>
      <c r="F41" s="133">
        <v>307.61</v>
      </c>
      <c r="G41" s="109">
        <v>0.0</v>
      </c>
      <c r="H41" s="109" t="str">
        <f t="shared" si="15"/>
        <v>838.41</v>
      </c>
      <c r="I41" s="120"/>
      <c r="J41" s="93"/>
      <c r="K41" s="109" t="str">
        <f t="shared" si="16"/>
        <v>856.46</v>
      </c>
      <c r="L41" s="109" t="str">
        <f t="shared" si="17"/>
        <v>1,010.62</v>
      </c>
      <c r="M41" s="114" t="str">
        <f t="shared" si="13"/>
        <v>1.00</v>
      </c>
      <c r="N41" s="109" t="str">
        <f t="shared" si="14"/>
        <v>1,010.62</v>
      </c>
      <c r="O41" s="92"/>
      <c r="P41" s="1"/>
      <c r="Q41" s="1"/>
    </row>
    <row r="42" ht="30.0" customHeight="1">
      <c r="A42" s="131" t="s">
        <v>262</v>
      </c>
      <c r="B42" s="121" t="s">
        <v>263</v>
      </c>
      <c r="C42" s="132" t="s">
        <v>264</v>
      </c>
      <c r="D42" s="109">
        <v>231.89</v>
      </c>
      <c r="E42" s="133">
        <v>4443.28</v>
      </c>
      <c r="F42" s="133">
        <v>28734.47</v>
      </c>
      <c r="G42" s="138">
        <v>0.0</v>
      </c>
      <c r="H42" s="109" t="str">
        <f t="shared" si="15"/>
        <v>33,409.64</v>
      </c>
      <c r="I42" s="120"/>
      <c r="J42" s="93"/>
      <c r="K42" s="109" t="str">
        <f t="shared" si="16"/>
        <v>33,568.60</v>
      </c>
      <c r="L42" s="109" t="str">
        <f t="shared" si="17"/>
        <v>39,610.94</v>
      </c>
      <c r="M42" s="114" t="str">
        <f t="shared" si="13"/>
        <v>1.00</v>
      </c>
      <c r="N42" s="109" t="str">
        <f t="shared" si="14"/>
        <v>39,610.94</v>
      </c>
      <c r="O42" s="92"/>
      <c r="P42" s="1"/>
      <c r="Q42" s="1"/>
    </row>
    <row r="43" ht="18.0" customHeight="1">
      <c r="A43" s="112"/>
      <c r="B43" s="130"/>
      <c r="C43" s="113" t="s">
        <v>45</v>
      </c>
      <c r="D43" s="139" t="str">
        <f t="shared" ref="D43:G43" si="18">SUM(D25:D42)</f>
        <v>116,015.48</v>
      </c>
      <c r="E43" s="139" t="str">
        <f t="shared" si="18"/>
        <v>13,257.31</v>
      </c>
      <c r="F43" s="139" t="str">
        <f t="shared" si="18"/>
        <v>1,431,983.57</v>
      </c>
      <c r="G43" s="139" t="str">
        <f t="shared" si="18"/>
        <v>1,814.42</v>
      </c>
      <c r="H43" s="139" t="str">
        <f t="shared" si="15"/>
        <v>1,563,070.78</v>
      </c>
      <c r="I43" s="93"/>
      <c r="J43" s="93"/>
      <c r="K43" s="127" t="str">
        <f>SUM(K25:K42)</f>
        <v>1,567,466.05</v>
      </c>
      <c r="L43" s="127">
        <v>1849609.95</v>
      </c>
      <c r="M43" s="140"/>
      <c r="N43" s="127" t="str">
        <f t="shared" si="14"/>
        <v>1,849,609.95</v>
      </c>
      <c r="O43" s="92"/>
      <c r="P43" s="1"/>
      <c r="Q43" s="1"/>
    </row>
    <row r="44" ht="12.75" customHeight="1">
      <c r="A44" s="112" t="s">
        <v>46</v>
      </c>
      <c r="B44" s="130"/>
      <c r="C44" s="113" t="s">
        <v>47</v>
      </c>
      <c r="D44" s="110"/>
      <c r="E44" s="110"/>
      <c r="F44" s="110"/>
      <c r="G44" s="110"/>
      <c r="H44" s="110"/>
      <c r="I44" s="93"/>
      <c r="J44" s="93"/>
      <c r="K44" s="109"/>
      <c r="L44" s="109"/>
      <c r="M44" s="114"/>
      <c r="N44" s="109"/>
      <c r="O44" s="92"/>
      <c r="P44" s="1"/>
      <c r="Q44" s="1"/>
    </row>
    <row r="45" ht="31.5" customHeight="1">
      <c r="A45" s="112"/>
      <c r="B45" s="130"/>
      <c r="C45" s="115" t="s">
        <v>48</v>
      </c>
      <c r="D45" s="110"/>
      <c r="E45" s="110"/>
      <c r="F45" s="110"/>
      <c r="G45" s="110"/>
      <c r="H45" s="110"/>
      <c r="I45" s="93"/>
      <c r="J45" s="93"/>
      <c r="K45" s="109"/>
      <c r="L45" s="109"/>
      <c r="M45" s="114"/>
      <c r="N45" s="109"/>
      <c r="O45" s="92"/>
      <c r="P45" s="1"/>
      <c r="Q45" s="1"/>
    </row>
    <row r="46" ht="12.75" customHeight="1">
      <c r="A46" s="131" t="s">
        <v>265</v>
      </c>
      <c r="B46" s="130"/>
      <c r="C46" s="141" t="s">
        <v>49</v>
      </c>
      <c r="D46" s="142" t="str">
        <f t="shared" ref="D46:H46" si="19">SUM(D45)</f>
        <v>0.00</v>
      </c>
      <c r="E46" s="142" t="str">
        <f t="shared" si="19"/>
        <v>0.00</v>
      </c>
      <c r="F46" s="142" t="str">
        <f t="shared" si="19"/>
        <v>0.00</v>
      </c>
      <c r="G46" s="142" t="str">
        <f t="shared" si="19"/>
        <v>0.00</v>
      </c>
      <c r="H46" s="142" t="str">
        <f t="shared" si="19"/>
        <v>0.00</v>
      </c>
      <c r="I46" s="93"/>
      <c r="J46" s="93"/>
      <c r="K46" s="109" t="str">
        <f>(D46+E46)*1.034</f>
        <v>0.00</v>
      </c>
      <c r="L46" s="109" t="str">
        <f>((D46+E46)*1.034+F46+G46)*1.18</f>
        <v>0.00</v>
      </c>
      <c r="M46" s="114"/>
      <c r="N46" s="109" t="str">
        <f t="shared" ref="N46:N47" si="22">L46</f>
        <v>0.00</v>
      </c>
      <c r="O46" s="92"/>
      <c r="P46" s="1"/>
      <c r="Q46" s="1"/>
    </row>
    <row r="47" ht="12.75" customHeight="1">
      <c r="A47" s="112"/>
      <c r="B47" s="130"/>
      <c r="C47" s="113" t="s">
        <v>50</v>
      </c>
      <c r="D47" s="143" t="str">
        <f t="shared" ref="D47:G47" si="20">SUM(D46)</f>
        <v>0.00</v>
      </c>
      <c r="E47" s="143" t="str">
        <f t="shared" si="20"/>
        <v>0.00</v>
      </c>
      <c r="F47" s="143" t="str">
        <f t="shared" si="20"/>
        <v>0.00</v>
      </c>
      <c r="G47" s="143" t="str">
        <f t="shared" si="20"/>
        <v>0.00</v>
      </c>
      <c r="H47" s="143" t="str">
        <f>SUM(D47:G47)</f>
        <v>0.00</v>
      </c>
      <c r="I47" s="93"/>
      <c r="J47" s="93"/>
      <c r="K47" s="109" t="str">
        <f t="shared" ref="K47:L47" si="21">K46</f>
        <v>0.00</v>
      </c>
      <c r="L47" s="109" t="str">
        <f t="shared" si="21"/>
        <v>0.00</v>
      </c>
      <c r="M47" s="114"/>
      <c r="N47" s="109" t="str">
        <f t="shared" si="22"/>
        <v>0.00</v>
      </c>
      <c r="O47" s="92"/>
      <c r="P47" s="1"/>
      <c r="Q47" s="1"/>
    </row>
    <row r="48" ht="12.75" customHeight="1">
      <c r="A48" s="112" t="s">
        <v>51</v>
      </c>
      <c r="B48" s="130"/>
      <c r="C48" s="113" t="s">
        <v>52</v>
      </c>
      <c r="D48" s="110"/>
      <c r="E48" s="110"/>
      <c r="F48" s="110"/>
      <c r="G48" s="110"/>
      <c r="H48" s="110"/>
      <c r="I48" s="93"/>
      <c r="J48" s="93"/>
      <c r="K48" s="109"/>
      <c r="L48" s="109"/>
      <c r="M48" s="114"/>
      <c r="N48" s="109"/>
      <c r="O48" s="92"/>
      <c r="P48" s="1"/>
      <c r="Q48" s="1"/>
    </row>
    <row r="49" ht="15.75" customHeight="1">
      <c r="A49" s="112"/>
      <c r="B49" s="130"/>
      <c r="C49" s="115" t="s">
        <v>53</v>
      </c>
      <c r="D49" s="110"/>
      <c r="E49" s="110"/>
      <c r="F49" s="110"/>
      <c r="G49" s="110"/>
      <c r="H49" s="110"/>
      <c r="I49" s="93"/>
      <c r="J49" s="93"/>
      <c r="K49" s="109"/>
      <c r="L49" s="109"/>
      <c r="M49" s="114"/>
      <c r="N49" s="109"/>
      <c r="O49" s="92"/>
      <c r="P49" s="1"/>
      <c r="Q49" s="1"/>
    </row>
    <row r="50">
      <c r="A50" s="117" t="s">
        <v>54</v>
      </c>
      <c r="B50" s="121" t="s">
        <v>266</v>
      </c>
      <c r="C50" s="141" t="s">
        <v>267</v>
      </c>
      <c r="D50" s="144">
        <v>3782.49</v>
      </c>
      <c r="E50" s="144">
        <v>952.14</v>
      </c>
      <c r="F50" s="144">
        <v>5025.82</v>
      </c>
      <c r="G50" s="144">
        <v>0.0</v>
      </c>
      <c r="H50" s="144" t="str">
        <f>D50+E50+F50+G50</f>
        <v>9,760.45</v>
      </c>
      <c r="I50" s="93"/>
      <c r="J50" s="93"/>
      <c r="K50" s="109" t="str">
        <f t="shared" ref="K50:K53" si="23">(D50+E50)*1.034+F50+G50</f>
        <v>9,921.43</v>
      </c>
      <c r="L50" s="109" t="str">
        <f t="shared" ref="L50:L53" si="24">K50*1.18</f>
        <v>11,707.28</v>
      </c>
      <c r="M50" s="114" t="str">
        <f t="shared" ref="M50:M53" si="25">N50/L50</f>
        <v>1.00</v>
      </c>
      <c r="N50" s="109" t="str">
        <f t="shared" ref="N50:N53" si="26">L50</f>
        <v>11,707.28</v>
      </c>
      <c r="O50" s="92"/>
      <c r="P50" s="1"/>
      <c r="Q50" s="1"/>
    </row>
    <row r="51" ht="21.0" customHeight="1">
      <c r="A51" s="117" t="s">
        <v>268</v>
      </c>
      <c r="B51" s="121" t="s">
        <v>269</v>
      </c>
      <c r="C51" s="122" t="s">
        <v>270</v>
      </c>
      <c r="D51" s="144">
        <v>70.85</v>
      </c>
      <c r="E51" s="144">
        <v>2751.12</v>
      </c>
      <c r="F51" s="144">
        <v>1590.9</v>
      </c>
      <c r="G51" s="144">
        <v>0.0</v>
      </c>
      <c r="H51" s="144">
        <v>4412.86</v>
      </c>
      <c r="I51" s="93"/>
      <c r="J51" s="93"/>
      <c r="K51" s="109" t="str">
        <f t="shared" si="23"/>
        <v>4,508.82</v>
      </c>
      <c r="L51" s="109" t="str">
        <f t="shared" si="24"/>
        <v>5,320.40</v>
      </c>
      <c r="M51" s="114" t="str">
        <f t="shared" si="25"/>
        <v>1.00</v>
      </c>
      <c r="N51" s="109" t="str">
        <f t="shared" si="26"/>
        <v>5,320.40</v>
      </c>
      <c r="O51" s="92"/>
      <c r="P51" s="1"/>
      <c r="Q51" s="1"/>
    </row>
    <row r="52" ht="15.75" customHeight="1">
      <c r="A52" s="117" t="s">
        <v>271</v>
      </c>
      <c r="B52" s="121" t="s">
        <v>272</v>
      </c>
      <c r="C52" s="122" t="s">
        <v>273</v>
      </c>
      <c r="D52" s="144">
        <v>1.62</v>
      </c>
      <c r="E52" s="144">
        <v>76.74</v>
      </c>
      <c r="F52" s="144">
        <v>3131.59</v>
      </c>
      <c r="G52" s="144">
        <v>0.0</v>
      </c>
      <c r="H52" s="144">
        <v>3209.94</v>
      </c>
      <c r="I52" s="93"/>
      <c r="J52" s="93"/>
      <c r="K52" s="109" t="str">
        <f t="shared" si="23"/>
        <v>3,212.61</v>
      </c>
      <c r="L52" s="109" t="str">
        <f t="shared" si="24"/>
        <v>3,790.88</v>
      </c>
      <c r="M52" s="114" t="str">
        <f t="shared" si="25"/>
        <v>1.00</v>
      </c>
      <c r="N52" s="109" t="str">
        <f t="shared" si="26"/>
        <v>3,790.88</v>
      </c>
      <c r="O52" s="92"/>
      <c r="P52" s="1"/>
      <c r="Q52" s="1"/>
    </row>
    <row r="53" ht="18.0" customHeight="1">
      <c r="A53" s="117" t="s">
        <v>274</v>
      </c>
      <c r="B53" s="121" t="s">
        <v>275</v>
      </c>
      <c r="C53" s="122" t="s">
        <v>276</v>
      </c>
      <c r="D53" s="144">
        <v>2747.95</v>
      </c>
      <c r="E53" s="144">
        <v>979.15</v>
      </c>
      <c r="F53" s="144">
        <v>0.0</v>
      </c>
      <c r="G53" s="144">
        <v>0.0</v>
      </c>
      <c r="H53" s="144" t="str">
        <f>D53+E53+F53</f>
        <v>3,727.10</v>
      </c>
      <c r="I53" s="93"/>
      <c r="J53" s="93"/>
      <c r="K53" s="109" t="str">
        <f t="shared" si="23"/>
        <v>3,853.82</v>
      </c>
      <c r="L53" s="109" t="str">
        <f t="shared" si="24"/>
        <v>4,547.51</v>
      </c>
      <c r="M53" s="114" t="str">
        <f t="shared" si="25"/>
        <v>1.00</v>
      </c>
      <c r="N53" s="109" t="str">
        <f t="shared" si="26"/>
        <v>4,547.51</v>
      </c>
      <c r="O53" s="92"/>
      <c r="P53" s="1"/>
      <c r="Q53" s="1"/>
    </row>
    <row r="54">
      <c r="A54" s="112"/>
      <c r="B54" s="130"/>
      <c r="C54" s="113" t="s">
        <v>57</v>
      </c>
      <c r="D54" s="139" t="str">
        <f t="shared" ref="D54:G54" si="27">SUM(D50:D53)</f>
        <v>6,602.91</v>
      </c>
      <c r="E54" s="139" t="str">
        <f t="shared" si="27"/>
        <v>4,759.15</v>
      </c>
      <c r="F54" s="139" t="str">
        <f t="shared" si="27"/>
        <v>9,748.31</v>
      </c>
      <c r="G54" s="139" t="str">
        <f t="shared" si="27"/>
        <v>0.00</v>
      </c>
      <c r="H54" s="139" t="str">
        <f>D54+E54+F54+G54</f>
        <v>21,110.37</v>
      </c>
      <c r="I54" s="93"/>
      <c r="J54" s="93"/>
      <c r="K54" s="127" t="str">
        <f t="shared" ref="K54:L54" si="28">SUM(K50:K53)</f>
        <v>21,496.68</v>
      </c>
      <c r="L54" s="127" t="str">
        <f t="shared" si="28"/>
        <v>25,366.08</v>
      </c>
      <c r="M54" s="114"/>
      <c r="N54" s="127" t="str">
        <f>SUM(N50:N53)</f>
        <v>25,366.08</v>
      </c>
      <c r="O54" s="92"/>
      <c r="P54" s="1"/>
      <c r="Q54" s="1"/>
    </row>
    <row r="55" ht="12.75" customHeight="1">
      <c r="A55" s="112" t="s">
        <v>58</v>
      </c>
      <c r="B55" s="130"/>
      <c r="C55" s="113" t="s">
        <v>59</v>
      </c>
      <c r="D55" s="110"/>
      <c r="E55" s="110"/>
      <c r="F55" s="110"/>
      <c r="G55" s="110"/>
      <c r="H55" s="110"/>
      <c r="I55" s="93"/>
      <c r="J55" s="93"/>
      <c r="K55" s="109"/>
      <c r="L55" s="109"/>
      <c r="M55" s="114"/>
      <c r="N55" s="109"/>
      <c r="O55" s="92"/>
      <c r="P55" s="1"/>
      <c r="Q55" s="1"/>
    </row>
    <row r="56" ht="24.0" customHeight="1">
      <c r="A56" s="112"/>
      <c r="B56" s="130"/>
      <c r="C56" s="115" t="s">
        <v>60</v>
      </c>
      <c r="D56" s="110"/>
      <c r="E56" s="110"/>
      <c r="F56" s="110"/>
      <c r="G56" s="110"/>
      <c r="H56" s="110"/>
      <c r="I56" s="93"/>
      <c r="J56" s="93"/>
      <c r="K56" s="109"/>
      <c r="L56" s="109"/>
      <c r="M56" s="114"/>
      <c r="N56" s="109"/>
      <c r="O56" s="92"/>
      <c r="P56" s="1"/>
      <c r="Q56" s="1"/>
    </row>
    <row r="57" ht="12.0" customHeight="1">
      <c r="A57" s="117" t="s">
        <v>61</v>
      </c>
      <c r="B57" s="121"/>
      <c r="C57" s="141" t="s">
        <v>49</v>
      </c>
      <c r="D57" s="144">
        <v>0.0</v>
      </c>
      <c r="E57" s="144">
        <v>0.0</v>
      </c>
      <c r="F57" s="144">
        <v>0.0</v>
      </c>
      <c r="G57" s="144">
        <v>0.0</v>
      </c>
      <c r="H57" s="144" t="str">
        <f t="shared" ref="H57:H58" si="30">SUM(D57:G57)</f>
        <v>0.00</v>
      </c>
      <c r="I57" s="145"/>
      <c r="J57" s="93"/>
      <c r="K57" s="109" t="str">
        <f>(D57+E57)*1.034</f>
        <v>0.00</v>
      </c>
      <c r="L57" s="109" t="str">
        <f t="shared" ref="L57:L58" si="31">((D57+E57)*1.034+F57+G57)*1.18</f>
        <v>0.00</v>
      </c>
      <c r="M57" s="114"/>
      <c r="N57" s="109" t="str">
        <f t="shared" ref="N57:N58" si="32">L57</f>
        <v>0.00</v>
      </c>
      <c r="O57" s="92"/>
      <c r="P57" s="1"/>
      <c r="Q57" s="1"/>
    </row>
    <row r="58" ht="15.75" customHeight="1">
      <c r="A58" s="112"/>
      <c r="B58" s="130"/>
      <c r="C58" s="113" t="s">
        <v>62</v>
      </c>
      <c r="D58" s="143" t="str">
        <f t="shared" ref="D58:G58" si="29">D57</f>
        <v>0.00</v>
      </c>
      <c r="E58" s="143" t="str">
        <f t="shared" si="29"/>
        <v>0.00</v>
      </c>
      <c r="F58" s="143" t="str">
        <f t="shared" si="29"/>
        <v>0.00</v>
      </c>
      <c r="G58" s="143" t="str">
        <f t="shared" si="29"/>
        <v>0.00</v>
      </c>
      <c r="H58" s="143" t="str">
        <f t="shared" si="30"/>
        <v>0.00</v>
      </c>
      <c r="I58" s="93"/>
      <c r="J58" s="93"/>
      <c r="K58" s="109" t="str">
        <f>K57</f>
        <v>0.00</v>
      </c>
      <c r="L58" s="109" t="str">
        <f t="shared" si="31"/>
        <v>0.00</v>
      </c>
      <c r="M58" s="114"/>
      <c r="N58" s="109" t="str">
        <f t="shared" si="32"/>
        <v>0.00</v>
      </c>
      <c r="O58" s="92"/>
      <c r="P58" s="1"/>
      <c r="Q58" s="1"/>
    </row>
    <row r="59" ht="12.75" customHeight="1">
      <c r="A59" s="112" t="s">
        <v>63</v>
      </c>
      <c r="B59" s="130"/>
      <c r="C59" s="113" t="s">
        <v>64</v>
      </c>
      <c r="D59" s="110"/>
      <c r="E59" s="110"/>
      <c r="F59" s="110"/>
      <c r="G59" s="110"/>
      <c r="H59" s="110"/>
      <c r="I59" s="93"/>
      <c r="J59" s="93"/>
      <c r="K59" s="109"/>
      <c r="L59" s="109"/>
      <c r="M59" s="114"/>
      <c r="N59" s="109"/>
      <c r="O59" s="92"/>
      <c r="P59" s="1"/>
      <c r="Q59" s="1"/>
    </row>
    <row r="60" ht="26.25" customHeight="1">
      <c r="A60" s="112"/>
      <c r="B60" s="130"/>
      <c r="C60" s="115" t="s">
        <v>65</v>
      </c>
      <c r="D60" s="110"/>
      <c r="E60" s="110"/>
      <c r="F60" s="110"/>
      <c r="G60" s="110"/>
      <c r="H60" s="110"/>
      <c r="I60" s="93"/>
      <c r="J60" s="93"/>
      <c r="K60" s="109"/>
      <c r="L60" s="109"/>
      <c r="M60" s="114"/>
      <c r="N60" s="109"/>
      <c r="O60" s="92"/>
      <c r="P60" s="1"/>
      <c r="Q60" s="1"/>
    </row>
    <row r="61" ht="39.75" customHeight="1">
      <c r="A61" s="117" t="s">
        <v>66</v>
      </c>
      <c r="B61" s="121" t="s">
        <v>277</v>
      </c>
      <c r="C61" s="119" t="s">
        <v>278</v>
      </c>
      <c r="D61" s="109">
        <v>1781.33</v>
      </c>
      <c r="E61" s="109">
        <v>4.19</v>
      </c>
      <c r="F61" s="109">
        <v>0.0</v>
      </c>
      <c r="G61" s="109">
        <v>0.0</v>
      </c>
      <c r="H61" s="109" t="str">
        <f>D61+E61+F61+G61</f>
        <v>1,785.52</v>
      </c>
      <c r="I61" s="145"/>
      <c r="J61" s="93"/>
      <c r="K61" s="109" t="str">
        <f t="shared" ref="K61:K65" si="33">(D61+E61)*1.034+F61+G61</f>
        <v>1,846.23</v>
      </c>
      <c r="L61" s="109" t="str">
        <f t="shared" ref="L61:L65" si="34">K61*1.18</f>
        <v>2,178.55</v>
      </c>
      <c r="M61" s="114" t="str">
        <f t="shared" ref="M61:M65" si="35">N61/L61</f>
        <v>1.00</v>
      </c>
      <c r="N61" s="109" t="str">
        <f t="shared" ref="N61:N65" si="36">L61</f>
        <v>2,178.55</v>
      </c>
      <c r="O61" s="92"/>
      <c r="P61" s="1"/>
      <c r="Q61" s="1"/>
    </row>
    <row r="62" ht="30.0" customHeight="1">
      <c r="A62" s="117" t="s">
        <v>279</v>
      </c>
      <c r="B62" s="121" t="s">
        <v>280</v>
      </c>
      <c r="C62" s="119" t="s">
        <v>281</v>
      </c>
      <c r="D62" s="109">
        <v>174.44</v>
      </c>
      <c r="E62" s="109">
        <v>35.68</v>
      </c>
      <c r="F62" s="109">
        <v>625.71</v>
      </c>
      <c r="G62" s="109">
        <v>0.0</v>
      </c>
      <c r="H62" s="109">
        <v>835.83</v>
      </c>
      <c r="I62" s="145"/>
      <c r="J62" s="93"/>
      <c r="K62" s="109" t="str">
        <f t="shared" si="33"/>
        <v>842.97</v>
      </c>
      <c r="L62" s="109" t="str">
        <f t="shared" si="34"/>
        <v>994.71</v>
      </c>
      <c r="M62" s="114" t="str">
        <f t="shared" si="35"/>
        <v>1.00</v>
      </c>
      <c r="N62" s="109" t="str">
        <f t="shared" si="36"/>
        <v>994.71</v>
      </c>
      <c r="O62" s="92"/>
      <c r="P62" s="1"/>
      <c r="Q62" s="1"/>
    </row>
    <row r="63" ht="30.0" customHeight="1">
      <c r="A63" s="117" t="s">
        <v>282</v>
      </c>
      <c r="B63" s="121" t="s">
        <v>283</v>
      </c>
      <c r="C63" s="119" t="s">
        <v>284</v>
      </c>
      <c r="D63" s="109">
        <v>1701.08</v>
      </c>
      <c r="E63" s="109">
        <v>0.0</v>
      </c>
      <c r="F63" s="109">
        <v>0.0</v>
      </c>
      <c r="G63" s="109">
        <v>0.0</v>
      </c>
      <c r="H63" s="109" t="str">
        <f t="shared" ref="H63:H66" si="37">D63+E63+F63+G63</f>
        <v>1,701.08</v>
      </c>
      <c r="I63" s="145"/>
      <c r="J63" s="93"/>
      <c r="K63" s="109" t="str">
        <f t="shared" si="33"/>
        <v>1,758.92</v>
      </c>
      <c r="L63" s="109" t="str">
        <f t="shared" si="34"/>
        <v>2,075.52</v>
      </c>
      <c r="M63" s="114" t="str">
        <f t="shared" si="35"/>
        <v>1.00</v>
      </c>
      <c r="N63" s="109" t="str">
        <f t="shared" si="36"/>
        <v>2,075.52</v>
      </c>
      <c r="O63" s="92"/>
      <c r="P63" s="1"/>
      <c r="Q63" s="1"/>
    </row>
    <row r="64" ht="30.0" customHeight="1">
      <c r="A64" s="117" t="s">
        <v>285</v>
      </c>
      <c r="B64" s="121" t="s">
        <v>286</v>
      </c>
      <c r="C64" s="119" t="s">
        <v>287</v>
      </c>
      <c r="D64" s="109">
        <v>123.62</v>
      </c>
      <c r="E64" s="109">
        <v>0.0</v>
      </c>
      <c r="F64" s="109">
        <v>0.0</v>
      </c>
      <c r="G64" s="109">
        <v>0.0</v>
      </c>
      <c r="H64" s="109" t="str">
        <f t="shared" si="37"/>
        <v>123.62</v>
      </c>
      <c r="I64" s="145"/>
      <c r="J64" s="93"/>
      <c r="K64" s="109" t="str">
        <f t="shared" si="33"/>
        <v>127.82</v>
      </c>
      <c r="L64" s="109" t="str">
        <f t="shared" si="34"/>
        <v>150.83</v>
      </c>
      <c r="M64" s="114" t="str">
        <f t="shared" si="35"/>
        <v>1.00</v>
      </c>
      <c r="N64" s="109" t="str">
        <f t="shared" si="36"/>
        <v>150.83</v>
      </c>
      <c r="O64" s="92"/>
      <c r="P64" s="1"/>
      <c r="Q64" s="1"/>
    </row>
    <row r="65" ht="40.5" customHeight="1">
      <c r="A65" s="117" t="s">
        <v>288</v>
      </c>
      <c r="B65" s="121" t="s">
        <v>289</v>
      </c>
      <c r="C65" s="119" t="s">
        <v>290</v>
      </c>
      <c r="D65" s="109">
        <v>1495.35</v>
      </c>
      <c r="E65" s="109">
        <v>16.76</v>
      </c>
      <c r="F65" s="109">
        <v>2350.19</v>
      </c>
      <c r="G65" s="109">
        <v>0.0</v>
      </c>
      <c r="H65" s="109" t="str">
        <f t="shared" si="37"/>
        <v>3,862.30</v>
      </c>
      <c r="I65" s="145"/>
      <c r="J65" s="93"/>
      <c r="K65" s="109" t="str">
        <f t="shared" si="33"/>
        <v>3,913.71</v>
      </c>
      <c r="L65" s="109" t="str">
        <f t="shared" si="34"/>
        <v>4,618.18</v>
      </c>
      <c r="M65" s="114" t="str">
        <f t="shared" si="35"/>
        <v>1.00</v>
      </c>
      <c r="N65" s="109" t="str">
        <f t="shared" si="36"/>
        <v>4,618.18</v>
      </c>
      <c r="O65" s="92"/>
      <c r="P65" s="1"/>
      <c r="Q65" s="1"/>
    </row>
    <row r="66" ht="12.75" customHeight="1">
      <c r="A66" s="112"/>
      <c r="B66" s="130"/>
      <c r="C66" s="113" t="s">
        <v>67</v>
      </c>
      <c r="D66" s="139" t="str">
        <f t="shared" ref="D66:G66" si="38">SUM(D61:D65)</f>
        <v>5,275.82</v>
      </c>
      <c r="E66" s="139" t="str">
        <f t="shared" si="38"/>
        <v>56.63</v>
      </c>
      <c r="F66" s="139" t="str">
        <f t="shared" si="38"/>
        <v>2,975.90</v>
      </c>
      <c r="G66" s="139" t="str">
        <f t="shared" si="38"/>
        <v>0.00</v>
      </c>
      <c r="H66" s="139" t="str">
        <f t="shared" si="37"/>
        <v>8,308.35</v>
      </c>
      <c r="I66" s="93"/>
      <c r="J66" s="93"/>
      <c r="K66" s="127" t="str">
        <f t="shared" ref="K66:L66" si="39">SUM(K61:K65)</f>
        <v>8,489.65</v>
      </c>
      <c r="L66" s="127" t="str">
        <f t="shared" si="39"/>
        <v>10,017.79</v>
      </c>
      <c r="M66" s="114"/>
      <c r="N66" s="127" t="str">
        <f>SUM(N61:N65)</f>
        <v>10,017.79</v>
      </c>
      <c r="O66" s="92"/>
      <c r="P66" s="1"/>
      <c r="Q66" s="1"/>
    </row>
    <row r="67" ht="12.75" customHeight="1">
      <c r="A67" s="112" t="s">
        <v>68</v>
      </c>
      <c r="B67" s="130"/>
      <c r="C67" s="113" t="s">
        <v>69</v>
      </c>
      <c r="D67" s="110"/>
      <c r="E67" s="110"/>
      <c r="F67" s="110"/>
      <c r="G67" s="110"/>
      <c r="H67" s="110"/>
      <c r="I67" s="93"/>
      <c r="J67" s="93"/>
      <c r="K67" s="109"/>
      <c r="L67" s="109"/>
      <c r="M67" s="114"/>
      <c r="N67" s="109"/>
      <c r="O67" s="92"/>
      <c r="P67" s="1"/>
      <c r="Q67" s="1"/>
    </row>
    <row r="68" ht="25.5" customHeight="1">
      <c r="A68" s="112"/>
      <c r="B68" s="130"/>
      <c r="C68" s="115" t="s">
        <v>70</v>
      </c>
      <c r="D68" s="110"/>
      <c r="E68" s="110"/>
      <c r="F68" s="110"/>
      <c r="G68" s="110"/>
      <c r="H68" s="110"/>
      <c r="I68" s="93"/>
      <c r="J68" s="93"/>
      <c r="K68" s="109"/>
      <c r="L68" s="109"/>
      <c r="M68" s="114"/>
      <c r="N68" s="109"/>
      <c r="O68" s="92"/>
      <c r="P68" s="1"/>
      <c r="Q68" s="1"/>
    </row>
    <row r="69" ht="12.75" customHeight="1">
      <c r="A69" s="117" t="s">
        <v>71</v>
      </c>
      <c r="B69" s="121"/>
      <c r="C69" s="122" t="s">
        <v>49</v>
      </c>
      <c r="D69" s="144">
        <v>0.0</v>
      </c>
      <c r="E69" s="144">
        <v>0.0</v>
      </c>
      <c r="F69" s="144">
        <v>0.0</v>
      </c>
      <c r="G69" s="144">
        <v>0.0</v>
      </c>
      <c r="H69" s="146">
        <v>0.0</v>
      </c>
      <c r="I69" s="145"/>
      <c r="J69" s="93"/>
      <c r="K69" s="109" t="str">
        <f>(D69+E69)*1.034</f>
        <v>0.00</v>
      </c>
      <c r="L69" s="109" t="str">
        <f t="shared" ref="L69:L70" si="41">((D69+E69)*1.034+F69+G69)*1.18</f>
        <v>0.00</v>
      </c>
      <c r="M69" s="114"/>
      <c r="N69" s="109"/>
      <c r="O69" s="92"/>
      <c r="P69" s="1"/>
      <c r="Q69" s="1"/>
    </row>
    <row r="70" ht="12.75" customHeight="1">
      <c r="A70" s="112"/>
      <c r="B70" s="130"/>
      <c r="C70" s="113" t="s">
        <v>72</v>
      </c>
      <c r="D70" s="139" t="str">
        <f t="shared" ref="D70:G70" si="40">SUM(D69)</f>
        <v>0.00</v>
      </c>
      <c r="E70" s="139" t="str">
        <f t="shared" si="40"/>
        <v>0.00</v>
      </c>
      <c r="F70" s="139" t="str">
        <f t="shared" si="40"/>
        <v>0.00</v>
      </c>
      <c r="G70" s="139" t="str">
        <f t="shared" si="40"/>
        <v>0.00</v>
      </c>
      <c r="H70" s="139" t="str">
        <f t="shared" ref="H70:H71" si="43">SUM(D70:G70)</f>
        <v>0.00</v>
      </c>
      <c r="I70" s="93"/>
      <c r="J70" s="93"/>
      <c r="K70" s="109" t="str">
        <f>K69</f>
        <v>0.00</v>
      </c>
      <c r="L70" s="109" t="str">
        <f t="shared" si="41"/>
        <v>0.00</v>
      </c>
      <c r="M70" s="114"/>
      <c r="N70" s="109"/>
      <c r="O70" s="92"/>
      <c r="P70" s="1"/>
      <c r="Q70" s="1"/>
    </row>
    <row r="71" ht="12.75" customHeight="1">
      <c r="A71" s="112"/>
      <c r="B71" s="130"/>
      <c r="C71" s="113" t="s">
        <v>73</v>
      </c>
      <c r="D71" s="139" t="str">
        <f t="shared" ref="D71:G71" si="42">D70+D66+D58+D54+D47+D43+D22</f>
        <v>128,401.25</v>
      </c>
      <c r="E71" s="139" t="str">
        <f t="shared" si="42"/>
        <v>18,073.09</v>
      </c>
      <c r="F71" s="139" t="str">
        <f t="shared" si="42"/>
        <v>1,444,707.78</v>
      </c>
      <c r="G71" s="139" t="str">
        <f t="shared" si="42"/>
        <v>31,002.09</v>
      </c>
      <c r="H71" s="139" t="str">
        <f t="shared" si="43"/>
        <v>1,622,184.21</v>
      </c>
      <c r="I71" s="139" t="str">
        <f t="shared" ref="I71:J71" si="44">SUM(E71:H71)</f>
        <v>3,115,967.18</v>
      </c>
      <c r="J71" s="139" t="str">
        <f t="shared" si="44"/>
        <v>6,213,861.27</v>
      </c>
      <c r="K71" s="139" t="str">
        <f t="shared" ref="K71:L71" si="45">K70+K66+K58+K54+K47+K43+K22</f>
        <v>1,627,164.34</v>
      </c>
      <c r="L71" s="139" t="str">
        <f t="shared" si="45"/>
        <v>1,915,678.06</v>
      </c>
      <c r="M71" s="114"/>
      <c r="N71" s="139" t="str">
        <f>N70+N66+N58+N54+N47+N43+N22</f>
        <v>1,911,035.82</v>
      </c>
      <c r="O71" s="92"/>
      <c r="P71" s="1"/>
      <c r="Q71" s="1"/>
    </row>
    <row r="72" ht="12.75" customHeight="1">
      <c r="A72" s="112" t="s">
        <v>74</v>
      </c>
      <c r="B72" s="130"/>
      <c r="C72" s="113" t="s">
        <v>75</v>
      </c>
      <c r="D72" s="144"/>
      <c r="E72" s="144"/>
      <c r="F72" s="144"/>
      <c r="G72" s="144"/>
      <c r="H72" s="144"/>
      <c r="I72" s="93"/>
      <c r="J72" s="93"/>
      <c r="K72" s="109"/>
      <c r="L72" s="109"/>
      <c r="M72" s="114"/>
      <c r="N72" s="109"/>
      <c r="O72" s="92"/>
      <c r="P72" s="1"/>
      <c r="Q72" s="1"/>
    </row>
    <row r="73" ht="12.75" customHeight="1">
      <c r="A73" s="112"/>
      <c r="B73" s="130"/>
      <c r="C73" s="113" t="s">
        <v>76</v>
      </c>
      <c r="D73" s="144"/>
      <c r="E73" s="144"/>
      <c r="F73" s="144"/>
      <c r="G73" s="144"/>
      <c r="H73" s="144"/>
      <c r="I73" s="93"/>
      <c r="J73" s="93"/>
      <c r="K73" s="109"/>
      <c r="L73" s="109"/>
      <c r="M73" s="114"/>
      <c r="N73" s="109"/>
      <c r="O73" s="92"/>
      <c r="P73" s="1"/>
      <c r="Q73" s="1"/>
    </row>
    <row r="74" ht="29.25" customHeight="1">
      <c r="A74" s="117" t="s">
        <v>77</v>
      </c>
      <c r="B74" s="136" t="s">
        <v>291</v>
      </c>
      <c r="C74" s="119" t="s">
        <v>76</v>
      </c>
      <c r="D74" s="109">
        <v>938.35</v>
      </c>
      <c r="E74" s="109">
        <v>63.3</v>
      </c>
      <c r="F74" s="109">
        <v>74.04</v>
      </c>
      <c r="G74" s="109">
        <v>0.0</v>
      </c>
      <c r="H74" s="109" t="str">
        <f t="shared" ref="H74:H75" si="47">D74+E74+F74+G74</f>
        <v>1,075.69</v>
      </c>
      <c r="I74" s="145"/>
      <c r="J74" s="93"/>
      <c r="K74" s="109" t="str">
        <f>(D74+E74)*1.034+F74+G74</f>
        <v>1,109.75</v>
      </c>
      <c r="L74" s="109" t="str">
        <f>K74*1.18</f>
        <v>1,309.50</v>
      </c>
      <c r="M74" s="114" t="str">
        <f>N74/L74</f>
        <v>1.00</v>
      </c>
      <c r="N74" s="109" t="str">
        <f t="shared" ref="N74:N75" si="48">L74</f>
        <v>1,309.50</v>
      </c>
      <c r="O74" s="92"/>
      <c r="P74" s="1"/>
      <c r="Q74" s="1"/>
    </row>
    <row r="75" ht="12.75" customHeight="1">
      <c r="A75" s="112"/>
      <c r="B75" s="147"/>
      <c r="C75" s="113" t="s">
        <v>80</v>
      </c>
      <c r="D75" s="139" t="str">
        <f t="shared" ref="D75:G75" si="46">SUM(D74)</f>
        <v>938.35</v>
      </c>
      <c r="E75" s="139" t="str">
        <f t="shared" si="46"/>
        <v>63.30</v>
      </c>
      <c r="F75" s="139" t="str">
        <f t="shared" si="46"/>
        <v>74.04</v>
      </c>
      <c r="G75" s="139" t="str">
        <f t="shared" si="46"/>
        <v>0.00</v>
      </c>
      <c r="H75" s="139" t="str">
        <f t="shared" si="47"/>
        <v>1,075.69</v>
      </c>
      <c r="I75" s="93"/>
      <c r="J75" s="93"/>
      <c r="K75" s="127" t="str">
        <f>K74</f>
        <v>1,109.75</v>
      </c>
      <c r="L75" s="127" t="str">
        <f>SUM(L74)</f>
        <v>1,309.50</v>
      </c>
      <c r="M75" s="114"/>
      <c r="N75" s="127" t="str">
        <f t="shared" si="48"/>
        <v>1,309.50</v>
      </c>
      <c r="O75" s="92"/>
      <c r="P75" s="1"/>
      <c r="Q75" s="1"/>
    </row>
    <row r="76" ht="12.75" customHeight="1">
      <c r="A76" s="112"/>
      <c r="B76" s="147"/>
      <c r="C76" s="113" t="s">
        <v>81</v>
      </c>
      <c r="D76" s="139" t="str">
        <f t="shared" ref="D76:G76" si="49">D71+D75</f>
        <v>129,339.60</v>
      </c>
      <c r="E76" s="139" t="str">
        <f t="shared" si="49"/>
        <v>18,136.39</v>
      </c>
      <c r="F76" s="139" t="str">
        <f t="shared" si="49"/>
        <v>1,444,781.82</v>
      </c>
      <c r="G76" s="139" t="str">
        <f t="shared" si="49"/>
        <v>31,002.09</v>
      </c>
      <c r="H76" s="139" t="str">
        <f>SUM(D76:G76)</f>
        <v>1,623,259.90</v>
      </c>
      <c r="I76" s="93"/>
      <c r="J76" s="93"/>
      <c r="K76" s="139" t="str">
        <f t="shared" ref="K76:L76" si="50">K71+K75</f>
        <v>1,628,274.09</v>
      </c>
      <c r="L76" s="139" t="str">
        <f t="shared" si="50"/>
        <v>1,916,987.56</v>
      </c>
      <c r="M76" s="140"/>
      <c r="N76" s="139" t="str">
        <f>N71+N75</f>
        <v>1,912,345.32</v>
      </c>
      <c r="O76" s="92"/>
      <c r="P76" s="1"/>
      <c r="Q76" s="1"/>
    </row>
    <row r="77" ht="12.75" customHeight="1">
      <c r="A77" s="112" t="s">
        <v>82</v>
      </c>
      <c r="B77" s="147"/>
      <c r="C77" s="113" t="s">
        <v>83</v>
      </c>
      <c r="D77" s="144"/>
      <c r="E77" s="144"/>
      <c r="F77" s="144"/>
      <c r="G77" s="144"/>
      <c r="H77" s="144"/>
      <c r="I77" s="93"/>
      <c r="J77" s="93"/>
      <c r="K77" s="109"/>
      <c r="L77" s="109"/>
      <c r="M77" s="114"/>
      <c r="N77" s="109"/>
      <c r="O77" s="92"/>
      <c r="P77" s="1"/>
      <c r="Q77" s="1"/>
    </row>
    <row r="78" ht="17.25" customHeight="1">
      <c r="A78" s="112"/>
      <c r="B78" s="147"/>
      <c r="C78" s="113" t="s">
        <v>84</v>
      </c>
      <c r="D78" s="144"/>
      <c r="E78" s="144"/>
      <c r="F78" s="144"/>
      <c r="G78" s="144"/>
      <c r="H78" s="144"/>
      <c r="I78" s="93"/>
      <c r="J78" s="93"/>
      <c r="K78" s="109"/>
      <c r="L78" s="109"/>
      <c r="M78" s="114"/>
      <c r="N78" s="109"/>
      <c r="O78" s="92"/>
      <c r="P78" s="1"/>
      <c r="Q78" s="1"/>
    </row>
    <row r="79" ht="34.5" customHeight="1">
      <c r="A79" s="117" t="s">
        <v>85</v>
      </c>
      <c r="B79" s="123" t="s">
        <v>292</v>
      </c>
      <c r="C79" s="119" t="s">
        <v>293</v>
      </c>
      <c r="D79" s="109">
        <v>0.0</v>
      </c>
      <c r="E79" s="109">
        <v>0.0</v>
      </c>
      <c r="F79" s="109">
        <v>0.0</v>
      </c>
      <c r="G79" s="109" t="str">
        <f>3721.96061/1.18</f>
        <v>3,154.20</v>
      </c>
      <c r="H79" s="109" t="str">
        <f t="shared" ref="H79:H80" si="51">G79</f>
        <v>3,154.20</v>
      </c>
      <c r="I79" s="93"/>
      <c r="J79" s="93"/>
      <c r="K79" s="109" t="str">
        <f t="shared" ref="K79:K84" si="52">(D79+E79)*1.034+F79+G79</f>
        <v>3,154.20</v>
      </c>
      <c r="L79" s="109" t="str">
        <f t="shared" ref="L79:L84" si="53">K79*1.18</f>
        <v>3,721.96</v>
      </c>
      <c r="M79" s="114" t="str">
        <f t="shared" ref="M79:M84" si="54">N79/L79</f>
        <v>1.00</v>
      </c>
      <c r="N79" s="109" t="str">
        <f t="shared" ref="N79:N82" si="55">L79</f>
        <v>3,721.96</v>
      </c>
      <c r="O79" s="92"/>
      <c r="P79" s="1"/>
      <c r="Q79" s="1"/>
    </row>
    <row r="80" ht="47.25" customHeight="1">
      <c r="A80" s="117" t="s">
        <v>88</v>
      </c>
      <c r="B80" s="123" t="s">
        <v>294</v>
      </c>
      <c r="C80" s="119" t="s">
        <v>295</v>
      </c>
      <c r="D80" s="109">
        <v>0.0</v>
      </c>
      <c r="E80" s="109">
        <v>0.0</v>
      </c>
      <c r="F80" s="109">
        <v>0.0</v>
      </c>
      <c r="G80" s="109" t="str">
        <f>46.404/1.18+2.5/1.18</f>
        <v>41.44</v>
      </c>
      <c r="H80" s="109" t="str">
        <f t="shared" si="51"/>
        <v>41.44</v>
      </c>
      <c r="I80" s="93"/>
      <c r="J80" s="93"/>
      <c r="K80" s="109" t="str">
        <f t="shared" si="52"/>
        <v>41.44</v>
      </c>
      <c r="L80" s="109" t="str">
        <f t="shared" si="53"/>
        <v>48.90</v>
      </c>
      <c r="M80" s="114" t="str">
        <f t="shared" si="54"/>
        <v>1.00</v>
      </c>
      <c r="N80" s="109" t="str">
        <f t="shared" si="55"/>
        <v>48.90</v>
      </c>
      <c r="O80" s="92"/>
      <c r="P80" s="1"/>
      <c r="Q80" s="1"/>
    </row>
    <row r="81" ht="23.25" customHeight="1">
      <c r="A81" s="117" t="s">
        <v>296</v>
      </c>
      <c r="B81" s="123" t="s">
        <v>297</v>
      </c>
      <c r="C81" s="119" t="s">
        <v>298</v>
      </c>
      <c r="D81" s="109">
        <v>0.0</v>
      </c>
      <c r="E81" s="109">
        <v>0.0</v>
      </c>
      <c r="F81" s="109">
        <v>0.0</v>
      </c>
      <c r="G81" s="109">
        <v>5822.30079</v>
      </c>
      <c r="H81" s="109" t="str">
        <f t="shared" ref="H81:H84" si="56">SUM(D81:G81)</f>
        <v>5,822.30</v>
      </c>
      <c r="I81" s="120"/>
      <c r="J81" s="93"/>
      <c r="K81" s="109" t="str">
        <f t="shared" si="52"/>
        <v>5,822.30</v>
      </c>
      <c r="L81" s="109" t="str">
        <f t="shared" si="53"/>
        <v>6,870.31</v>
      </c>
      <c r="M81" s="114" t="str">
        <f t="shared" si="54"/>
        <v>1.00</v>
      </c>
      <c r="N81" s="109" t="str">
        <f t="shared" si="55"/>
        <v>6,870.31</v>
      </c>
      <c r="O81" s="92"/>
      <c r="P81" s="1"/>
      <c r="Q81" s="1"/>
    </row>
    <row r="82" ht="22.5" customHeight="1">
      <c r="A82" s="117" t="s">
        <v>91</v>
      </c>
      <c r="B82" s="123" t="s">
        <v>297</v>
      </c>
      <c r="C82" s="119" t="s">
        <v>299</v>
      </c>
      <c r="D82" s="109">
        <v>0.0</v>
      </c>
      <c r="E82" s="109">
        <v>0.0</v>
      </c>
      <c r="F82" s="109">
        <v>0.0</v>
      </c>
      <c r="G82" s="148">
        <v>575.116</v>
      </c>
      <c r="H82" s="109" t="str">
        <f t="shared" si="56"/>
        <v>575.12</v>
      </c>
      <c r="I82" s="120"/>
      <c r="J82" s="93"/>
      <c r="K82" s="109" t="str">
        <f t="shared" si="52"/>
        <v>575.12</v>
      </c>
      <c r="L82" s="109" t="str">
        <f t="shared" si="53"/>
        <v>678.64</v>
      </c>
      <c r="M82" s="114" t="str">
        <f t="shared" si="54"/>
        <v>1.00</v>
      </c>
      <c r="N82" s="109" t="str">
        <f t="shared" si="55"/>
        <v>678.64</v>
      </c>
      <c r="O82" s="92"/>
      <c r="P82" s="1"/>
      <c r="Q82" s="1"/>
    </row>
    <row r="83" ht="26.25" customHeight="1">
      <c r="A83" s="117" t="s">
        <v>300</v>
      </c>
      <c r="B83" s="118" t="s">
        <v>202</v>
      </c>
      <c r="C83" s="119" t="s">
        <v>301</v>
      </c>
      <c r="D83" s="109">
        <v>0.0</v>
      </c>
      <c r="E83" s="109">
        <v>0.0</v>
      </c>
      <c r="F83" s="109">
        <v>0.0</v>
      </c>
      <c r="G83" s="148" t="str">
        <f>152/1.18*32</f>
        <v>4,122.03</v>
      </c>
      <c r="H83" s="109" t="str">
        <f t="shared" si="56"/>
        <v>4,122.03</v>
      </c>
      <c r="I83" s="120"/>
      <c r="J83" s="93"/>
      <c r="K83" s="109" t="str">
        <f t="shared" si="52"/>
        <v>4,122.03</v>
      </c>
      <c r="L83" s="109" t="str">
        <f t="shared" si="53"/>
        <v>4,864.00</v>
      </c>
      <c r="M83" s="114" t="str">
        <f t="shared" si="54"/>
        <v>0.32</v>
      </c>
      <c r="N83" s="109">
        <v>1550.42</v>
      </c>
      <c r="O83" s="92"/>
      <c r="P83" s="1"/>
      <c r="Q83" s="1"/>
    </row>
    <row r="84" ht="22.5" customHeight="1">
      <c r="A84" s="117" t="s">
        <v>302</v>
      </c>
      <c r="B84" s="123" t="s">
        <v>303</v>
      </c>
      <c r="C84" s="119" t="s">
        <v>304</v>
      </c>
      <c r="D84" s="109">
        <v>0.0</v>
      </c>
      <c r="E84" s="109">
        <v>0.0</v>
      </c>
      <c r="F84" s="109">
        <v>0.0</v>
      </c>
      <c r="G84" s="148" t="str">
        <f>110/1.18*32</f>
        <v>2,983.05</v>
      </c>
      <c r="H84" s="109" t="str">
        <f t="shared" si="56"/>
        <v>2,983.05</v>
      </c>
      <c r="I84" s="120"/>
      <c r="J84" s="93"/>
      <c r="K84" s="109" t="str">
        <f t="shared" si="52"/>
        <v>2,983.05</v>
      </c>
      <c r="L84" s="109" t="str">
        <f t="shared" si="53"/>
        <v>3,520.00</v>
      </c>
      <c r="M84" s="114" t="str">
        <f t="shared" si="54"/>
        <v>0.22</v>
      </c>
      <c r="N84" s="109">
        <v>782.19</v>
      </c>
      <c r="O84" s="92"/>
      <c r="P84" s="1"/>
      <c r="Q84" s="1"/>
    </row>
    <row r="85" ht="36.0" customHeight="1">
      <c r="A85" s="117" t="s">
        <v>305</v>
      </c>
      <c r="B85" s="118" t="s">
        <v>306</v>
      </c>
      <c r="C85" s="119" t="s">
        <v>307</v>
      </c>
      <c r="D85" s="109">
        <v>4397.55</v>
      </c>
      <c r="E85" s="109">
        <v>616.64</v>
      </c>
      <c r="F85" s="109">
        <v>0.0</v>
      </c>
      <c r="G85" s="148">
        <v>0.0</v>
      </c>
      <c r="H85" s="109">
        <v>5014.18</v>
      </c>
      <c r="I85" s="120"/>
      <c r="J85" s="93"/>
      <c r="K85" s="109"/>
      <c r="L85" s="109"/>
      <c r="M85" s="114"/>
      <c r="N85" s="109"/>
      <c r="O85" s="92"/>
      <c r="P85" s="1"/>
      <c r="Q85" s="1"/>
    </row>
    <row r="86" ht="21.0" customHeight="1">
      <c r="A86" s="117" t="s">
        <v>308</v>
      </c>
      <c r="B86" s="121" t="s">
        <v>309</v>
      </c>
      <c r="C86" s="132" t="s">
        <v>310</v>
      </c>
      <c r="D86" s="109">
        <v>0.0</v>
      </c>
      <c r="E86" s="109">
        <v>0.0</v>
      </c>
      <c r="F86" s="109">
        <v>0.0</v>
      </c>
      <c r="G86" s="109">
        <v>5220.14</v>
      </c>
      <c r="H86" s="109" t="str">
        <f t="shared" ref="H86:H89" si="57">SUM(D86:G86)</f>
        <v>5,220.14</v>
      </c>
      <c r="I86" s="120"/>
      <c r="J86" s="93"/>
      <c r="K86" s="109" t="str">
        <f t="shared" ref="K86:K88" si="58">(D86+E86)*1.034+F86+G86</f>
        <v>5,220.14</v>
      </c>
      <c r="L86" s="109" t="str">
        <f t="shared" ref="L86:L87" si="59">K86*1.18</f>
        <v>6,159.77</v>
      </c>
      <c r="M86" s="114" t="str">
        <f t="shared" ref="M86:M87" si="60">N86/L86</f>
        <v>1.00</v>
      </c>
      <c r="N86" s="109" t="str">
        <f t="shared" ref="N86:N87" si="61">L86</f>
        <v>6,159.77</v>
      </c>
      <c r="O86" s="92"/>
      <c r="P86" s="1"/>
      <c r="Q86" s="1"/>
    </row>
    <row r="87" ht="27.0" customHeight="1">
      <c r="A87" s="117" t="s">
        <v>311</v>
      </c>
      <c r="B87" s="121" t="s">
        <v>312</v>
      </c>
      <c r="C87" s="132" t="s">
        <v>313</v>
      </c>
      <c r="D87" s="109">
        <v>0.0</v>
      </c>
      <c r="E87" s="109">
        <v>0.0</v>
      </c>
      <c r="F87" s="109">
        <v>0.0</v>
      </c>
      <c r="G87" s="109">
        <v>32894.623</v>
      </c>
      <c r="H87" s="109" t="str">
        <f t="shared" si="57"/>
        <v>32,894.62</v>
      </c>
      <c r="I87" s="120"/>
      <c r="J87" s="93"/>
      <c r="K87" s="109" t="str">
        <f t="shared" si="58"/>
        <v>32,894.62</v>
      </c>
      <c r="L87" s="109" t="str">
        <f t="shared" si="59"/>
        <v>38,815.66</v>
      </c>
      <c r="M87" s="114" t="str">
        <f t="shared" si="60"/>
        <v>1.00</v>
      </c>
      <c r="N87" s="109" t="str">
        <f t="shared" si="61"/>
        <v>38,815.66</v>
      </c>
      <c r="O87" s="92"/>
      <c r="P87" s="1"/>
      <c r="Q87" s="1"/>
    </row>
    <row r="88" ht="23.25" customHeight="1">
      <c r="A88" s="112"/>
      <c r="B88" s="147"/>
      <c r="C88" s="113" t="s">
        <v>92</v>
      </c>
      <c r="D88" s="139" t="str">
        <f t="shared" ref="D88:G88" si="62">SUM(D79:D87)</f>
        <v>4,397.55</v>
      </c>
      <c r="E88" s="139" t="str">
        <f t="shared" si="62"/>
        <v>616.64</v>
      </c>
      <c r="F88" s="139" t="str">
        <f t="shared" si="62"/>
        <v>0.00</v>
      </c>
      <c r="G88" s="139" t="str">
        <f t="shared" si="62"/>
        <v>54,812.91</v>
      </c>
      <c r="H88" s="139" t="str">
        <f t="shared" si="57"/>
        <v>59,827.10</v>
      </c>
      <c r="I88" s="93"/>
      <c r="J88" s="93"/>
      <c r="K88" s="127" t="str">
        <f t="shared" si="58"/>
        <v>59,997.58</v>
      </c>
      <c r="L88" s="127" t="str">
        <f>SUM(L79:L87)</f>
        <v>64,679.24</v>
      </c>
      <c r="M88" s="114"/>
      <c r="N88" s="127" t="str">
        <f>SUM(N79:N87)</f>
        <v>58,627.85</v>
      </c>
      <c r="O88" s="92"/>
      <c r="P88" s="1"/>
      <c r="Q88" s="1"/>
    </row>
    <row r="89" ht="12.75" customHeight="1">
      <c r="A89" s="112"/>
      <c r="B89" s="147"/>
      <c r="C89" s="113" t="s">
        <v>93</v>
      </c>
      <c r="D89" s="139" t="str">
        <f t="shared" ref="D89:G89" si="63">D88+D76</f>
        <v>133,737.15</v>
      </c>
      <c r="E89" s="139" t="str">
        <f t="shared" si="63"/>
        <v>18,753.03</v>
      </c>
      <c r="F89" s="139" t="str">
        <f t="shared" si="63"/>
        <v>1,444,781.82</v>
      </c>
      <c r="G89" s="139" t="str">
        <f t="shared" si="63"/>
        <v>85,815.01</v>
      </c>
      <c r="H89" s="139" t="str">
        <f t="shared" si="57"/>
        <v>1,683,087.01</v>
      </c>
      <c r="I89" s="93"/>
      <c r="J89" s="93"/>
      <c r="K89" s="139" t="str">
        <f t="shared" ref="K89:L89" si="64">K88+K76</f>
        <v>1,688,271.67</v>
      </c>
      <c r="L89" s="139" t="str">
        <f t="shared" si="64"/>
        <v>1,981,666.79</v>
      </c>
      <c r="M89" s="114"/>
      <c r="N89" s="139" t="str">
        <f>N88+N76</f>
        <v>1,970,973.17</v>
      </c>
      <c r="O89" s="92"/>
      <c r="P89" s="1"/>
      <c r="Q89" s="1"/>
    </row>
    <row r="90" ht="12.75" customHeight="1">
      <c r="A90" s="112" t="s">
        <v>94</v>
      </c>
      <c r="B90" s="147"/>
      <c r="C90" s="113" t="s">
        <v>95</v>
      </c>
      <c r="D90" s="139"/>
      <c r="E90" s="139"/>
      <c r="F90" s="139"/>
      <c r="G90" s="139"/>
      <c r="H90" s="139"/>
      <c r="I90" s="93"/>
      <c r="J90" s="93"/>
      <c r="K90" s="109"/>
      <c r="L90" s="109"/>
      <c r="M90" s="114"/>
      <c r="N90" s="109"/>
      <c r="O90" s="92"/>
      <c r="P90" s="1"/>
      <c r="Q90" s="1"/>
    </row>
    <row r="91" ht="37.5" customHeight="1">
      <c r="A91" s="112"/>
      <c r="B91" s="147"/>
      <c r="C91" s="149" t="s">
        <v>314</v>
      </c>
      <c r="D91" s="139"/>
      <c r="E91" s="139"/>
      <c r="F91" s="139"/>
      <c r="G91" s="139"/>
      <c r="H91" s="139"/>
      <c r="I91" s="93"/>
      <c r="J91" s="93"/>
      <c r="K91" s="109"/>
      <c r="L91" s="109"/>
      <c r="M91" s="114"/>
      <c r="N91" s="109"/>
      <c r="O91" s="92"/>
      <c r="P91" s="1"/>
      <c r="Q91" s="1"/>
    </row>
    <row r="92" ht="43.5" customHeight="1">
      <c r="A92" s="117" t="s">
        <v>97</v>
      </c>
      <c r="B92" s="150" t="s">
        <v>315</v>
      </c>
      <c r="C92" s="151" t="s">
        <v>99</v>
      </c>
      <c r="D92" s="152" t="str">
        <f t="shared" ref="D92:F92" si="65">SUM(D91)</f>
        <v>0.00</v>
      </c>
      <c r="E92" s="152" t="str">
        <f t="shared" si="65"/>
        <v>0.00</v>
      </c>
      <c r="F92" s="152" t="str">
        <f t="shared" si="65"/>
        <v>0.00</v>
      </c>
      <c r="G92" s="109">
        <v>18513.96</v>
      </c>
      <c r="H92" s="127" t="str">
        <f t="shared" ref="H92:H94" si="67">SUM(D92:G92)</f>
        <v>18,513.96</v>
      </c>
      <c r="I92" s="145"/>
      <c r="J92" s="93"/>
      <c r="K92" s="109" t="str">
        <f>K89*0.011</f>
        <v>18,570.99</v>
      </c>
      <c r="L92" s="109">
        <v>21846.47</v>
      </c>
      <c r="M92" s="114" t="str">
        <f>N92/L92</f>
        <v>0.99</v>
      </c>
      <c r="N92" s="109">
        <v>21671.42</v>
      </c>
      <c r="O92" s="92"/>
      <c r="P92" s="1"/>
      <c r="Q92" s="1"/>
    </row>
    <row r="93" ht="12.75" customHeight="1">
      <c r="A93" s="112"/>
      <c r="B93" s="130"/>
      <c r="C93" s="113" t="s">
        <v>100</v>
      </c>
      <c r="D93" s="143" t="str">
        <f t="shared" ref="D93:G93" si="66">SUM(D92)</f>
        <v>0.00</v>
      </c>
      <c r="E93" s="143" t="str">
        <f t="shared" si="66"/>
        <v>0.00</v>
      </c>
      <c r="F93" s="143" t="str">
        <f t="shared" si="66"/>
        <v>0.00</v>
      </c>
      <c r="G93" s="139" t="str">
        <f t="shared" si="66"/>
        <v>18,513.96</v>
      </c>
      <c r="H93" s="127" t="str">
        <f t="shared" si="67"/>
        <v>18,513.96</v>
      </c>
      <c r="I93" s="93"/>
      <c r="J93" s="93"/>
      <c r="K93" s="127" t="str">
        <f t="shared" ref="K93:L93" si="68">K92</f>
        <v>18,570.99</v>
      </c>
      <c r="L93" s="127" t="str">
        <f t="shared" si="68"/>
        <v>21,846.47</v>
      </c>
      <c r="M93" s="114"/>
      <c r="N93" s="127" t="str">
        <f>N92</f>
        <v>21,671.42</v>
      </c>
      <c r="O93" s="92"/>
      <c r="P93" s="1"/>
      <c r="Q93" s="1"/>
    </row>
    <row r="94" ht="12.75" customHeight="1">
      <c r="A94" s="112"/>
      <c r="B94" s="130"/>
      <c r="C94" s="113" t="s">
        <v>101</v>
      </c>
      <c r="D94" s="139" t="str">
        <f t="shared" ref="D94:G94" si="69">D89+D93</f>
        <v>133,737.15</v>
      </c>
      <c r="E94" s="139" t="str">
        <f t="shared" si="69"/>
        <v>18,753.03</v>
      </c>
      <c r="F94" s="139" t="str">
        <f t="shared" si="69"/>
        <v>1,444,781.82</v>
      </c>
      <c r="G94" s="139" t="str">
        <f t="shared" si="69"/>
        <v>104,328.97</v>
      </c>
      <c r="H94" s="139" t="str">
        <f t="shared" si="67"/>
        <v>1,701,600.97</v>
      </c>
      <c r="I94" s="93"/>
      <c r="J94" s="93"/>
      <c r="K94" s="139" t="str">
        <f t="shared" ref="K94:L94" si="70">K89+K93</f>
        <v>1,706,842.66</v>
      </c>
      <c r="L94" s="139" t="str">
        <f t="shared" si="70"/>
        <v>2,003,513.26</v>
      </c>
      <c r="M94" s="114"/>
      <c r="N94" s="127" t="str">
        <f>N89+N93</f>
        <v>1,992,644.59</v>
      </c>
      <c r="O94" s="92"/>
      <c r="P94" s="1"/>
      <c r="Q94" s="1"/>
    </row>
    <row r="95" ht="12.75" customHeight="1">
      <c r="A95" s="112" t="s">
        <v>102</v>
      </c>
      <c r="B95" s="130"/>
      <c r="C95" s="113" t="s">
        <v>103</v>
      </c>
      <c r="D95" s="139"/>
      <c r="E95" s="139"/>
      <c r="F95" s="139"/>
      <c r="G95" s="139"/>
      <c r="H95" s="139"/>
      <c r="I95" s="93"/>
      <c r="J95" s="93"/>
      <c r="K95" s="109"/>
      <c r="L95" s="109"/>
      <c r="M95" s="114"/>
      <c r="N95" s="109"/>
      <c r="O95" s="92"/>
      <c r="P95" s="1"/>
      <c r="Q95" s="1"/>
    </row>
    <row r="96" ht="12.0" customHeight="1">
      <c r="A96" s="112"/>
      <c r="B96" s="130"/>
      <c r="C96" s="115" t="s">
        <v>104</v>
      </c>
      <c r="D96" s="139"/>
      <c r="E96" s="139"/>
      <c r="F96" s="139"/>
      <c r="G96" s="139"/>
      <c r="H96" s="139"/>
      <c r="I96" s="93"/>
      <c r="J96" s="93"/>
      <c r="K96" s="109"/>
      <c r="L96" s="109"/>
      <c r="M96" s="114"/>
      <c r="N96" s="109"/>
      <c r="O96" s="92"/>
      <c r="P96" s="1"/>
      <c r="Q96" s="1"/>
    </row>
    <row r="97" ht="12.75" customHeight="1">
      <c r="A97" s="117" t="s">
        <v>316</v>
      </c>
      <c r="B97" s="153"/>
      <c r="C97" s="122" t="s">
        <v>49</v>
      </c>
      <c r="D97" s="142" t="str">
        <f t="shared" ref="D97:F97" si="71">SUM(D96)</f>
        <v>0.00</v>
      </c>
      <c r="E97" s="142" t="str">
        <f t="shared" si="71"/>
        <v>0.00</v>
      </c>
      <c r="F97" s="142" t="str">
        <f t="shared" si="71"/>
        <v>0.00</v>
      </c>
      <c r="G97" s="142">
        <v>0.0</v>
      </c>
      <c r="H97" s="143" t="str">
        <f t="shared" ref="H97:H99" si="73">SUM(D97:G97)</f>
        <v>0.00</v>
      </c>
      <c r="I97" s="93"/>
      <c r="J97" s="93"/>
      <c r="K97" s="109" t="str">
        <f>(D97+E97)*1.034</f>
        <v>0.00</v>
      </c>
      <c r="L97" s="109" t="str">
        <f>((D97+E97)*1.034+F97+G97)*1.18</f>
        <v>0.00</v>
      </c>
      <c r="M97" s="114"/>
      <c r="N97" s="109" t="str">
        <f t="shared" ref="N97:N98" si="75">L97</f>
        <v>0.00</v>
      </c>
      <c r="O97" s="92"/>
      <c r="P97" s="1"/>
      <c r="Q97" s="1"/>
    </row>
    <row r="98" ht="12.75" customHeight="1">
      <c r="A98" s="112"/>
      <c r="B98" s="154"/>
      <c r="C98" s="113" t="s">
        <v>105</v>
      </c>
      <c r="D98" s="143" t="str">
        <f t="shared" ref="D98:G98" si="72">SUM(D97)</f>
        <v>0.00</v>
      </c>
      <c r="E98" s="143" t="str">
        <f t="shared" si="72"/>
        <v>0.00</v>
      </c>
      <c r="F98" s="143" t="str">
        <f t="shared" si="72"/>
        <v>0.00</v>
      </c>
      <c r="G98" s="143" t="str">
        <f t="shared" si="72"/>
        <v>0.00</v>
      </c>
      <c r="H98" s="143" t="str">
        <f t="shared" si="73"/>
        <v>0.00</v>
      </c>
      <c r="I98" s="93"/>
      <c r="J98" s="93"/>
      <c r="K98" s="109" t="str">
        <f t="shared" ref="K98:L98" si="74">K97</f>
        <v>0.00</v>
      </c>
      <c r="L98" s="109" t="str">
        <f t="shared" si="74"/>
        <v>0.00</v>
      </c>
      <c r="M98" s="114"/>
      <c r="N98" s="109" t="str">
        <f t="shared" si="75"/>
        <v>0.00</v>
      </c>
      <c r="O98" s="92"/>
      <c r="P98" s="1"/>
      <c r="Q98" s="1"/>
    </row>
    <row r="99" ht="12.75" customHeight="1">
      <c r="A99" s="112"/>
      <c r="B99" s="130"/>
      <c r="C99" s="113" t="s">
        <v>106</v>
      </c>
      <c r="D99" s="139" t="str">
        <f t="shared" ref="D99:G99" si="76">SUM(D94,D98)</f>
        <v>133,737.15</v>
      </c>
      <c r="E99" s="139" t="str">
        <f t="shared" si="76"/>
        <v>18,753.03</v>
      </c>
      <c r="F99" s="139" t="str">
        <f t="shared" si="76"/>
        <v>1,444,781.82</v>
      </c>
      <c r="G99" s="139" t="str">
        <f t="shared" si="76"/>
        <v>104,328.97</v>
      </c>
      <c r="H99" s="139" t="str">
        <f t="shared" si="73"/>
        <v>1,701,600.97</v>
      </c>
      <c r="I99" s="93"/>
      <c r="J99" s="93"/>
      <c r="K99" s="127" t="str">
        <f t="shared" ref="K99:L99" si="77">K94+K98</f>
        <v>1,706,842.66</v>
      </c>
      <c r="L99" s="127" t="str">
        <f t="shared" si="77"/>
        <v>2,003,513.26</v>
      </c>
      <c r="M99" s="114"/>
      <c r="N99" s="127" t="str">
        <f>N94+N98</f>
        <v>1,992,644.59</v>
      </c>
      <c r="O99" s="92"/>
      <c r="P99" s="1"/>
      <c r="Q99" s="1"/>
    </row>
    <row r="100" ht="12.75" customHeight="1">
      <c r="A100" s="112" t="s">
        <v>107</v>
      </c>
      <c r="B100" s="130"/>
      <c r="C100" s="113" t="s">
        <v>108</v>
      </c>
      <c r="D100" s="139"/>
      <c r="E100" s="139"/>
      <c r="F100" s="139"/>
      <c r="G100" s="139"/>
      <c r="H100" s="139"/>
      <c r="I100" s="93"/>
      <c r="J100" s="93"/>
      <c r="K100" s="109"/>
      <c r="L100" s="109"/>
      <c r="M100" s="114"/>
      <c r="N100" s="109"/>
      <c r="O100" s="92"/>
      <c r="P100" s="1"/>
      <c r="Q100" s="1"/>
    </row>
    <row r="101" ht="27.0" customHeight="1">
      <c r="A101" s="112"/>
      <c r="B101" s="130"/>
      <c r="C101" s="115" t="s">
        <v>109</v>
      </c>
      <c r="D101" s="139"/>
      <c r="E101" s="139"/>
      <c r="F101" s="139"/>
      <c r="G101" s="139"/>
      <c r="H101" s="139"/>
      <c r="I101" s="93"/>
      <c r="J101" s="93"/>
      <c r="K101" s="109"/>
      <c r="L101" s="109"/>
      <c r="M101" s="114"/>
      <c r="N101" s="109"/>
      <c r="O101" s="92"/>
      <c r="P101" s="1"/>
      <c r="Q101" s="1"/>
    </row>
    <row r="102" ht="18.0" customHeight="1">
      <c r="A102" s="117" t="s">
        <v>110</v>
      </c>
      <c r="B102" s="118" t="s">
        <v>317</v>
      </c>
      <c r="C102" s="119" t="s">
        <v>318</v>
      </c>
      <c r="D102" s="109">
        <v>0.0</v>
      </c>
      <c r="E102" s="109">
        <v>0.0</v>
      </c>
      <c r="F102" s="109">
        <v>0.0</v>
      </c>
      <c r="G102" s="109">
        <v>179783.794</v>
      </c>
      <c r="H102" s="109" t="str">
        <f t="shared" ref="H102:H103" si="78">SUM(D102:G102)</f>
        <v>179,783.79</v>
      </c>
      <c r="I102" s="93"/>
      <c r="J102" s="93" t="s">
        <v>113</v>
      </c>
      <c r="K102" s="109"/>
      <c r="L102" s="109" t="str">
        <f t="shared" ref="L102:L104" si="79">H102*1.18</f>
        <v>212,144.88</v>
      </c>
      <c r="M102" s="114" t="str">
        <f t="shared" ref="M102:M105" si="80">N102/L102</f>
        <v>1.00</v>
      </c>
      <c r="N102" s="109" t="str">
        <f>L102</f>
        <v>212,144.88</v>
      </c>
      <c r="O102" s="92"/>
      <c r="P102" s="1"/>
      <c r="Q102" s="1"/>
    </row>
    <row r="103" ht="20.25" customHeight="1">
      <c r="A103" s="117" t="s">
        <v>114</v>
      </c>
      <c r="B103" s="155" t="s">
        <v>319</v>
      </c>
      <c r="C103" s="119" t="s">
        <v>320</v>
      </c>
      <c r="D103" s="109">
        <v>0.0</v>
      </c>
      <c r="E103" s="109">
        <v>0.0</v>
      </c>
      <c r="F103" s="109">
        <v>0.0</v>
      </c>
      <c r="G103" s="109">
        <v>3366.17</v>
      </c>
      <c r="H103" s="109" t="str">
        <f t="shared" si="78"/>
        <v>3,366.17</v>
      </c>
      <c r="I103" s="93"/>
      <c r="J103" s="93"/>
      <c r="K103" s="109"/>
      <c r="L103" s="109" t="str">
        <f t="shared" si="79"/>
        <v>3,972.08</v>
      </c>
      <c r="M103" s="114" t="str">
        <f t="shared" si="80"/>
        <v>1.00</v>
      </c>
      <c r="N103" s="156">
        <v>3972.08</v>
      </c>
      <c r="O103" s="92"/>
      <c r="P103" s="1"/>
      <c r="Q103" s="1"/>
    </row>
    <row r="104" ht="41.25" customHeight="1">
      <c r="A104" s="117" t="s">
        <v>321</v>
      </c>
      <c r="B104" s="157" t="s">
        <v>322</v>
      </c>
      <c r="C104" s="135" t="s">
        <v>323</v>
      </c>
      <c r="D104" s="109">
        <v>0.0</v>
      </c>
      <c r="E104" s="109">
        <v>0.0</v>
      </c>
      <c r="F104" s="109">
        <v>0.0</v>
      </c>
      <c r="G104" s="109" t="str">
        <f>(3908.4815/1.18)</f>
        <v>3,312.27</v>
      </c>
      <c r="H104" s="109" t="str">
        <f t="shared" ref="H104:H105" si="81">G104</f>
        <v>3,312.27</v>
      </c>
      <c r="I104" s="120"/>
      <c r="J104" s="93"/>
      <c r="K104" s="109"/>
      <c r="L104" s="109" t="str">
        <f t="shared" si="79"/>
        <v>3,908.48</v>
      </c>
      <c r="M104" s="114" t="str">
        <f t="shared" si="80"/>
        <v>1.00</v>
      </c>
      <c r="N104" s="109" t="str">
        <f t="shared" ref="N104:N105" si="82">L104</f>
        <v>3,908.48</v>
      </c>
      <c r="O104" s="92"/>
      <c r="P104" s="1"/>
      <c r="Q104" s="1"/>
    </row>
    <row r="105" ht="21.0" customHeight="1">
      <c r="A105" s="117" t="s">
        <v>119</v>
      </c>
      <c r="B105" s="157" t="s">
        <v>324</v>
      </c>
      <c r="C105" s="135" t="s">
        <v>325</v>
      </c>
      <c r="D105" s="109">
        <v>0.0</v>
      </c>
      <c r="E105" s="109">
        <v>0.0</v>
      </c>
      <c r="F105" s="109">
        <v>0.0</v>
      </c>
      <c r="G105" s="109" t="str">
        <f>335.544</f>
        <v>335.54</v>
      </c>
      <c r="H105" s="109" t="str">
        <f t="shared" si="81"/>
        <v>335.54</v>
      </c>
      <c r="I105" s="120"/>
      <c r="J105" s="93"/>
      <c r="K105" s="109"/>
      <c r="L105" s="109" t="str">
        <f>G105</f>
        <v>335.54</v>
      </c>
      <c r="M105" s="114" t="str">
        <f t="shared" si="80"/>
        <v>1.00</v>
      </c>
      <c r="N105" s="109" t="str">
        <f t="shared" si="82"/>
        <v>335.54</v>
      </c>
      <c r="O105" s="92"/>
      <c r="P105" s="1"/>
      <c r="Q105" s="1"/>
    </row>
    <row r="106" ht="12.75" customHeight="1">
      <c r="A106" s="112"/>
      <c r="B106" s="130"/>
      <c r="C106" s="113" t="s">
        <v>157</v>
      </c>
      <c r="D106" s="143" t="str">
        <f t="shared" ref="D106:F106" si="83">SUM(D102:D104)</f>
        <v>0.00</v>
      </c>
      <c r="E106" s="143" t="str">
        <f t="shared" si="83"/>
        <v>0.00</v>
      </c>
      <c r="F106" s="143" t="str">
        <f t="shared" si="83"/>
        <v>0.00</v>
      </c>
      <c r="G106" s="139" t="str">
        <f>SUM(G102:G105)</f>
        <v>186,797.78</v>
      </c>
      <c r="H106" s="139" t="str">
        <f t="shared" ref="H106:H110" si="85">SUM(D106:G106)</f>
        <v>186,797.78</v>
      </c>
      <c r="I106" s="158" t="str">
        <f>G106*3.92*1.18</f>
        <v>  864,051.81   </v>
      </c>
      <c r="J106" s="93"/>
      <c r="K106" s="109"/>
      <c r="L106" s="127">
        <v>220360.99</v>
      </c>
      <c r="M106" s="114"/>
      <c r="N106" s="127">
        <v>220360.99</v>
      </c>
      <c r="O106" s="92"/>
      <c r="P106" s="1"/>
      <c r="Q106" s="1"/>
    </row>
    <row r="107" ht="12.75" customHeight="1">
      <c r="A107" s="112"/>
      <c r="B107" s="130"/>
      <c r="C107" s="113" t="s">
        <v>158</v>
      </c>
      <c r="D107" s="139" t="str">
        <f t="shared" ref="D107:G107" si="84">D99+D106</f>
        <v>133,737.15</v>
      </c>
      <c r="E107" s="139" t="str">
        <f t="shared" si="84"/>
        <v>18,753.03</v>
      </c>
      <c r="F107" s="139" t="str">
        <f t="shared" si="84"/>
        <v>1,444,781.82</v>
      </c>
      <c r="G107" s="139" t="str">
        <f t="shared" si="84"/>
        <v>291,126.75</v>
      </c>
      <c r="H107" s="139" t="str">
        <f t="shared" si="85"/>
        <v>1,888,398.75</v>
      </c>
      <c r="I107" s="93"/>
      <c r="J107" s="93"/>
      <c r="K107" s="109"/>
      <c r="L107" s="127" t="str">
        <f>L99+L106</f>
        <v>2,223,874.25</v>
      </c>
      <c r="M107" s="114"/>
      <c r="N107" s="127" t="str">
        <f>N99+N106</f>
        <v>2,213,005.58</v>
      </c>
      <c r="O107" s="92"/>
      <c r="P107" s="92"/>
      <c r="Q107" s="1"/>
    </row>
    <row r="108" ht="27.75" customHeight="1">
      <c r="A108" s="112" t="s">
        <v>162</v>
      </c>
      <c r="B108" s="118" t="s">
        <v>163</v>
      </c>
      <c r="C108" s="119" t="s">
        <v>326</v>
      </c>
      <c r="D108" s="139" t="str">
        <f t="shared" ref="D108:G108" si="86">D107*0.02</f>
        <v>2,674.74</v>
      </c>
      <c r="E108" s="139" t="str">
        <f t="shared" si="86"/>
        <v>375.06</v>
      </c>
      <c r="F108" s="139" t="str">
        <f t="shared" si="86"/>
        <v>28,895.64</v>
      </c>
      <c r="G108" s="139" t="str">
        <f t="shared" si="86"/>
        <v>5,822.53</v>
      </c>
      <c r="H108" s="139" t="str">
        <f t="shared" si="85"/>
        <v>37,767.97</v>
      </c>
      <c r="I108" s="93"/>
      <c r="J108" s="93"/>
      <c r="K108" s="109"/>
      <c r="L108" s="127" t="str">
        <f>H108*1.18</f>
        <v>44,566.21</v>
      </c>
      <c r="M108" s="140" t="str">
        <f>N108/L108</f>
        <v>0.16</v>
      </c>
      <c r="N108" s="159">
        <v>7062.07</v>
      </c>
      <c r="O108" s="92"/>
      <c r="P108" s="1"/>
      <c r="Q108" s="1"/>
    </row>
    <row r="109" ht="23.25" customHeight="1">
      <c r="A109" s="160" t="s">
        <v>165</v>
      </c>
      <c r="B109" s="161"/>
      <c r="C109" s="162" t="s">
        <v>327</v>
      </c>
      <c r="D109" s="163" t="str">
        <f t="shared" ref="D109:G109" si="87">D107+D108</f>
        <v>136,411.89</v>
      </c>
      <c r="E109" s="163" t="str">
        <f t="shared" si="87"/>
        <v>19,128.09</v>
      </c>
      <c r="F109" s="163" t="str">
        <f t="shared" si="87"/>
        <v>1,473,677.46</v>
      </c>
      <c r="G109" s="163" t="str">
        <f t="shared" si="87"/>
        <v>296,949.28</v>
      </c>
      <c r="H109" s="163" t="str">
        <f t="shared" si="85"/>
        <v>1,926,166.72</v>
      </c>
      <c r="I109" s="164"/>
      <c r="J109" s="164"/>
      <c r="K109" s="165"/>
      <c r="L109" s="166">
        <v>2268440.456</v>
      </c>
      <c r="M109" s="167"/>
      <c r="N109" s="168">
        <v>2220067.66</v>
      </c>
      <c r="O109" s="92"/>
      <c r="P109" s="92"/>
      <c r="Q109" s="1"/>
    </row>
    <row r="110" ht="23.25" customHeight="1">
      <c r="A110" s="169" t="s">
        <v>167</v>
      </c>
      <c r="B110" s="170"/>
      <c r="C110" s="171" t="s">
        <v>328</v>
      </c>
      <c r="D110" s="172" t="str">
        <f t="shared" ref="D110:F110" si="88">D109*0.18</f>
        <v>24,554.14</v>
      </c>
      <c r="E110" s="172" t="str">
        <f t="shared" si="88"/>
        <v>3,443.06</v>
      </c>
      <c r="F110" s="172" t="str">
        <f t="shared" si="88"/>
        <v>265,261.94</v>
      </c>
      <c r="G110" s="172" t="str">
        <f>(G109-G105-G20-G16)*0.18</f>
        <v>49,014.60</v>
      </c>
      <c r="H110" s="173" t="str">
        <f t="shared" si="85"/>
        <v>342,273.74</v>
      </c>
      <c r="I110" s="174"/>
      <c r="J110" s="174"/>
      <c r="K110" s="175"/>
      <c r="L110" s="175"/>
      <c r="M110" s="176"/>
      <c r="N110" s="175"/>
      <c r="O110" s="177"/>
      <c r="P110" s="178"/>
      <c r="Q110" s="178"/>
    </row>
    <row r="111" ht="21.0" customHeight="1">
      <c r="A111" s="179" t="s">
        <v>169</v>
      </c>
      <c r="B111" s="180"/>
      <c r="C111" s="181" t="s">
        <v>329</v>
      </c>
      <c r="D111" s="166" t="str">
        <f>D109+D110</f>
        <v>160,966.03</v>
      </c>
      <c r="E111" s="166">
        <v>22571.14</v>
      </c>
      <c r="F111" s="166" t="str">
        <f t="shared" ref="F111:G111" si="89">F109+F110</f>
        <v>1,738,939.40</v>
      </c>
      <c r="G111" s="166" t="str">
        <f t="shared" si="89"/>
        <v>345,963.88</v>
      </c>
      <c r="H111" s="166">
        <v>2268440.456</v>
      </c>
      <c r="I111" s="182"/>
      <c r="J111" s="182"/>
      <c r="K111" s="183"/>
      <c r="L111" s="166">
        <v>2268440.456</v>
      </c>
      <c r="M111" s="167"/>
      <c r="N111" s="168">
        <v>2220067.66</v>
      </c>
      <c r="O111" s="92"/>
      <c r="P111" s="1"/>
      <c r="Q111" s="1"/>
    </row>
    <row r="112" ht="38.25" customHeight="1">
      <c r="A112" s="112" t="s">
        <v>171</v>
      </c>
      <c r="B112" s="123" t="s">
        <v>330</v>
      </c>
      <c r="C112" s="184" t="s">
        <v>331</v>
      </c>
      <c r="D112" s="109"/>
      <c r="E112" s="109"/>
      <c r="F112" s="109"/>
      <c r="G112" s="109"/>
      <c r="H112" s="109"/>
      <c r="I112" s="93"/>
      <c r="J112" s="93"/>
      <c r="K112" s="109"/>
      <c r="L112" s="109">
        <v>102126.6</v>
      </c>
      <c r="M112" s="114" t="str">
        <f>N112/L112</f>
        <v>1.00</v>
      </c>
      <c r="N112" s="109" t="str">
        <f>L112</f>
        <v>102,126.60</v>
      </c>
      <c r="O112" s="92"/>
      <c r="P112" s="1"/>
      <c r="Q112" s="1"/>
    </row>
    <row r="113" ht="40.5" customHeight="1">
      <c r="A113" s="112" t="s">
        <v>332</v>
      </c>
      <c r="B113" s="123" t="s">
        <v>333</v>
      </c>
      <c r="C113" s="135" t="s">
        <v>334</v>
      </c>
      <c r="D113" s="109"/>
      <c r="E113" s="109"/>
      <c r="F113" s="109"/>
      <c r="G113" s="109"/>
      <c r="H113" s="109"/>
      <c r="I113" s="93"/>
      <c r="J113" s="93"/>
      <c r="K113" s="109"/>
      <c r="L113" s="109">
        <v>443498.28</v>
      </c>
      <c r="M113" s="114">
        <v>0.99</v>
      </c>
      <c r="N113" s="109">
        <v>443459.58</v>
      </c>
      <c r="O113" s="92"/>
      <c r="P113" s="1"/>
      <c r="Q113" s="1"/>
    </row>
    <row r="114" ht="36.75" customHeight="1">
      <c r="A114" s="112" t="s">
        <v>335</v>
      </c>
      <c r="B114" s="123" t="s">
        <v>336</v>
      </c>
      <c r="C114" s="184" t="s">
        <v>337</v>
      </c>
      <c r="D114" s="109"/>
      <c r="E114" s="109"/>
      <c r="F114" s="109"/>
      <c r="G114" s="109"/>
      <c r="H114" s="109"/>
      <c r="I114" s="93"/>
      <c r="J114" s="93"/>
      <c r="K114" s="109"/>
      <c r="L114" s="109">
        <v>85716.73</v>
      </c>
      <c r="M114" s="114" t="str">
        <f>N114/L114</f>
        <v>1.00</v>
      </c>
      <c r="N114" s="109" t="str">
        <f>L114</f>
        <v>85,716.73</v>
      </c>
      <c r="O114" s="92"/>
      <c r="P114" s="1"/>
      <c r="Q114" s="1"/>
    </row>
    <row r="115" ht="12.75" customHeight="1">
      <c r="A115" s="112"/>
      <c r="B115" s="184"/>
      <c r="C115" s="112" t="s">
        <v>338</v>
      </c>
      <c r="D115" s="144"/>
      <c r="E115" s="144"/>
      <c r="F115" s="144"/>
      <c r="G115" s="144"/>
      <c r="H115" s="185"/>
      <c r="I115" s="93"/>
      <c r="J115" s="93"/>
      <c r="K115" s="109"/>
      <c r="L115" s="139" t="str">
        <f>SUM(L112:L114)</f>
        <v>631,341.61</v>
      </c>
      <c r="M115" s="114"/>
      <c r="N115" s="127" t="str">
        <f>N112+N113+N114</f>
        <v>631,302.91</v>
      </c>
      <c r="O115" s="92"/>
      <c r="P115" s="1"/>
      <c r="Q115" s="1"/>
    </row>
    <row r="116" ht="24.0" customHeight="1">
      <c r="A116" s="186"/>
      <c r="B116" s="187"/>
      <c r="C116" s="188" t="s">
        <v>339</v>
      </c>
      <c r="D116" s="189"/>
      <c r="E116" s="33"/>
      <c r="F116" s="33"/>
      <c r="G116" s="34"/>
      <c r="H116" s="190"/>
      <c r="I116" s="191"/>
      <c r="J116" s="191"/>
      <c r="K116" s="183"/>
      <c r="L116" s="168" t="str">
        <f>L109+L115</f>
        <v>2,899,782.07</v>
      </c>
      <c r="M116" s="167"/>
      <c r="N116" s="192">
        <v>2851370.56701</v>
      </c>
      <c r="O116" s="129"/>
      <c r="P116" s="129"/>
      <c r="Q116" s="129"/>
    </row>
    <row r="117" ht="12.75" customHeight="1">
      <c r="A117" s="88"/>
      <c r="B117" s="88"/>
      <c r="C117" s="88"/>
      <c r="D117" s="89"/>
      <c r="E117" s="89"/>
      <c r="F117" s="89"/>
      <c r="G117" s="89"/>
      <c r="H117" s="89"/>
      <c r="I117" s="93"/>
      <c r="J117" s="93"/>
      <c r="K117" s="95"/>
      <c r="L117" s="95"/>
      <c r="M117" s="96"/>
      <c r="N117" s="193"/>
      <c r="O117" s="92"/>
      <c r="P117" s="1"/>
      <c r="Q117" s="1"/>
    </row>
    <row r="118" ht="34.5" customHeight="1">
      <c r="A118" s="149" t="s">
        <v>340</v>
      </c>
      <c r="O118" s="92"/>
      <c r="P118" s="1"/>
      <c r="Q118" s="1"/>
    </row>
    <row r="119" ht="12.75" customHeight="1">
      <c r="A119" s="88" t="s">
        <v>185</v>
      </c>
      <c r="B119" s="101"/>
      <c r="C119" s="101"/>
      <c r="D119" s="102"/>
      <c r="E119" s="102"/>
      <c r="F119" s="102"/>
      <c r="G119" s="102"/>
      <c r="H119" s="102"/>
      <c r="I119" s="93"/>
      <c r="J119" s="93"/>
      <c r="K119" s="95"/>
      <c r="L119" s="95"/>
      <c r="M119" s="96"/>
      <c r="N119" s="95"/>
      <c r="O119" s="92"/>
      <c r="P119" s="1"/>
      <c r="Q119" s="1"/>
    </row>
    <row r="120" ht="12.75" customHeight="1">
      <c r="A120" s="194"/>
      <c r="B120" s="194"/>
      <c r="C120" s="194"/>
      <c r="D120" s="89"/>
      <c r="E120" s="89"/>
      <c r="F120" s="195" t="str">
        <f>N195</f>
        <v>2,048,916.77</v>
      </c>
      <c r="G120" s="196"/>
      <c r="H120" s="102" t="s">
        <v>10</v>
      </c>
      <c r="I120" s="93"/>
      <c r="J120" s="93"/>
      <c r="K120" s="95"/>
      <c r="L120" s="95"/>
      <c r="M120" s="96"/>
      <c r="N120" s="95"/>
      <c r="O120" s="92"/>
      <c r="P120" s="1"/>
      <c r="Q120" s="1"/>
    </row>
    <row r="121" ht="12.75" customHeight="1">
      <c r="A121" s="104" t="s">
        <v>11</v>
      </c>
      <c r="B121" s="104" t="s">
        <v>12</v>
      </c>
      <c r="C121" s="104" t="s">
        <v>13</v>
      </c>
      <c r="D121" s="105" t="s">
        <v>14</v>
      </c>
      <c r="E121" s="33"/>
      <c r="F121" s="33"/>
      <c r="G121" s="34"/>
      <c r="H121" s="104" t="s">
        <v>15</v>
      </c>
      <c r="I121" s="93"/>
      <c r="J121" s="93"/>
      <c r="K121" s="105" t="s">
        <v>187</v>
      </c>
      <c r="L121" s="33"/>
      <c r="M121" s="33"/>
      <c r="N121" s="34"/>
      <c r="O121" s="92"/>
      <c r="P121" s="1"/>
      <c r="Q121" s="1"/>
    </row>
    <row r="122" ht="38.25" customHeight="1">
      <c r="A122" s="35"/>
      <c r="B122" s="35"/>
      <c r="C122" s="35"/>
      <c r="D122" s="106" t="s">
        <v>16</v>
      </c>
      <c r="E122" s="106" t="s">
        <v>17</v>
      </c>
      <c r="F122" s="106" t="s">
        <v>18</v>
      </c>
      <c r="G122" s="106" t="s">
        <v>19</v>
      </c>
      <c r="H122" s="35"/>
      <c r="I122" s="93"/>
      <c r="J122" s="93"/>
      <c r="K122" s="107" t="s">
        <v>341</v>
      </c>
      <c r="L122" s="107" t="s">
        <v>190</v>
      </c>
      <c r="M122" s="108" t="s">
        <v>191</v>
      </c>
      <c r="N122" s="109" t="s">
        <v>192</v>
      </c>
      <c r="O122" s="92"/>
      <c r="P122" s="1"/>
      <c r="Q122" s="1"/>
    </row>
    <row r="123" ht="12.75" customHeight="1">
      <c r="A123" s="110">
        <v>1.0</v>
      </c>
      <c r="B123" s="110">
        <v>2.0</v>
      </c>
      <c r="C123" s="110">
        <v>3.0</v>
      </c>
      <c r="D123" s="110">
        <v>4.0</v>
      </c>
      <c r="E123" s="110">
        <v>5.0</v>
      </c>
      <c r="F123" s="110">
        <v>6.0</v>
      </c>
      <c r="G123" s="110">
        <v>7.0</v>
      </c>
      <c r="H123" s="110">
        <v>8.0</v>
      </c>
      <c r="I123" s="93"/>
      <c r="J123" s="93"/>
      <c r="K123" s="111">
        <v>9.0</v>
      </c>
      <c r="L123" s="111" t="s">
        <v>193</v>
      </c>
      <c r="M123" s="111" t="s">
        <v>194</v>
      </c>
      <c r="N123" s="111" t="s">
        <v>195</v>
      </c>
      <c r="O123" s="92"/>
      <c r="P123" s="1"/>
      <c r="Q123" s="1"/>
    </row>
    <row r="124" ht="12.75" customHeight="1">
      <c r="A124" s="110" t="s">
        <v>20</v>
      </c>
      <c r="B124" s="112"/>
      <c r="C124" s="113" t="s">
        <v>21</v>
      </c>
      <c r="D124" s="110"/>
      <c r="E124" s="110"/>
      <c r="F124" s="110"/>
      <c r="G124" s="110"/>
      <c r="H124" s="110"/>
      <c r="I124" s="93"/>
      <c r="J124" s="93"/>
      <c r="K124" s="109"/>
      <c r="L124" s="109"/>
      <c r="M124" s="114"/>
      <c r="N124" s="109"/>
      <c r="O124" s="92"/>
      <c r="P124" s="1"/>
      <c r="Q124" s="1"/>
    </row>
    <row r="125" ht="12.75" customHeight="1">
      <c r="A125" s="110"/>
      <c r="B125" s="112"/>
      <c r="C125" s="115" t="s">
        <v>22</v>
      </c>
      <c r="D125" s="110"/>
      <c r="E125" s="110"/>
      <c r="F125" s="110"/>
      <c r="G125" s="110"/>
      <c r="H125" s="110"/>
      <c r="I125" s="93"/>
      <c r="J125" s="93"/>
      <c r="K125" s="109"/>
      <c r="L125" s="109"/>
      <c r="M125" s="114"/>
      <c r="N125" s="109"/>
      <c r="O125" s="92"/>
      <c r="P125" s="1"/>
      <c r="Q125" s="1"/>
    </row>
    <row r="126" ht="12.75" customHeight="1">
      <c r="A126" s="197" t="s">
        <v>265</v>
      </c>
      <c r="B126" s="130" t="s">
        <v>204</v>
      </c>
      <c r="C126" s="141" t="s">
        <v>205</v>
      </c>
      <c r="D126" s="144">
        <v>665.75</v>
      </c>
      <c r="E126" s="144">
        <v>0.0</v>
      </c>
      <c r="F126" s="144">
        <v>0.0</v>
      </c>
      <c r="G126" s="144">
        <v>0.0</v>
      </c>
      <c r="H126" s="144" t="str">
        <f t="shared" ref="H126:H128" si="90">SUM(D126:G126)</f>
        <v>665.75</v>
      </c>
      <c r="I126" s="93"/>
      <c r="J126" s="93"/>
      <c r="K126" s="109" t="str">
        <f t="shared" ref="K126:K127" si="91">(D126+E126)*1.034+F126+G126</f>
        <v>688.39</v>
      </c>
      <c r="L126" s="109" t="str">
        <f t="shared" ref="L126:L127" si="92">K126*1.18</f>
        <v>812.29</v>
      </c>
      <c r="M126" s="114" t="str">
        <f t="shared" ref="M126:M127" si="93">N126/L126</f>
        <v>0.26</v>
      </c>
      <c r="N126" s="109">
        <v>212.0</v>
      </c>
      <c r="O126" s="92"/>
      <c r="P126" s="1"/>
      <c r="Q126" s="1"/>
    </row>
    <row r="127" ht="12.75" customHeight="1">
      <c r="A127" s="198"/>
      <c r="B127" s="130" t="s">
        <v>207</v>
      </c>
      <c r="C127" s="199" t="s">
        <v>342</v>
      </c>
      <c r="D127" s="200">
        <v>214.07</v>
      </c>
      <c r="E127" s="201">
        <v>0.0</v>
      </c>
      <c r="F127" s="201">
        <v>0.0</v>
      </c>
      <c r="G127" s="201">
        <v>0.0</v>
      </c>
      <c r="H127" s="201" t="str">
        <f t="shared" si="90"/>
        <v>214.07</v>
      </c>
      <c r="I127" s="93"/>
      <c r="J127" s="93"/>
      <c r="K127" s="109" t="str">
        <f t="shared" si="91"/>
        <v>221.35</v>
      </c>
      <c r="L127" s="109" t="str">
        <f t="shared" si="92"/>
        <v>261.19</v>
      </c>
      <c r="M127" s="114" t="str">
        <f t="shared" si="93"/>
        <v>1.00</v>
      </c>
      <c r="N127" s="109" t="str">
        <f>L127</f>
        <v>261.19</v>
      </c>
      <c r="O127" s="92"/>
      <c r="P127" s="1"/>
      <c r="Q127" s="1"/>
    </row>
    <row r="128" ht="12.75" customHeight="1">
      <c r="A128" s="110"/>
      <c r="B128" s="130"/>
      <c r="C128" s="113" t="s">
        <v>29</v>
      </c>
      <c r="D128" s="139" t="str">
        <f>D126+D127</f>
        <v>879.82</v>
      </c>
      <c r="E128" s="139" t="str">
        <f t="shared" ref="E128:G128" si="94">E126</f>
        <v>0.00</v>
      </c>
      <c r="F128" s="139" t="str">
        <f t="shared" si="94"/>
        <v>0.00</v>
      </c>
      <c r="G128" s="139" t="str">
        <f t="shared" si="94"/>
        <v>0.00</v>
      </c>
      <c r="H128" s="139" t="str">
        <f t="shared" si="90"/>
        <v>879.82</v>
      </c>
      <c r="I128" s="93"/>
      <c r="J128" s="93"/>
      <c r="K128" s="127" t="str">
        <f t="shared" ref="K128:L128" si="95">SUM(K126:K127)</f>
        <v>909.73</v>
      </c>
      <c r="L128" s="127" t="str">
        <f t="shared" si="95"/>
        <v>1,073.49</v>
      </c>
      <c r="M128" s="114"/>
      <c r="N128" s="127" t="str">
        <f>SUM(N126:N127)</f>
        <v>473.19</v>
      </c>
      <c r="O128" s="92"/>
      <c r="P128" s="1"/>
      <c r="Q128" s="1"/>
    </row>
    <row r="129" ht="12.75" customHeight="1">
      <c r="A129" s="110" t="s">
        <v>30</v>
      </c>
      <c r="B129" s="130"/>
      <c r="C129" s="113" t="s">
        <v>31</v>
      </c>
      <c r="D129" s="110"/>
      <c r="E129" s="110"/>
      <c r="F129" s="110"/>
      <c r="G129" s="110"/>
      <c r="H129" s="110"/>
      <c r="I129" s="93"/>
      <c r="J129" s="93"/>
      <c r="K129" s="109"/>
      <c r="L129" s="109"/>
      <c r="M129" s="114"/>
      <c r="N129" s="109"/>
      <c r="O129" s="92"/>
      <c r="P129" s="1"/>
      <c r="Q129" s="1"/>
    </row>
    <row r="130" ht="12.75" customHeight="1">
      <c r="A130" s="110"/>
      <c r="B130" s="130"/>
      <c r="C130" s="113" t="s">
        <v>32</v>
      </c>
      <c r="D130" s="110"/>
      <c r="E130" s="110"/>
      <c r="F130" s="110"/>
      <c r="G130" s="110"/>
      <c r="H130" s="110"/>
      <c r="I130" s="93"/>
      <c r="J130" s="93"/>
      <c r="K130" s="109"/>
      <c r="L130" s="109"/>
      <c r="M130" s="114"/>
      <c r="N130" s="109"/>
      <c r="O130" s="92"/>
      <c r="P130" s="1"/>
      <c r="Q130" s="1"/>
    </row>
    <row r="131" ht="12.75" customHeight="1">
      <c r="A131" s="197"/>
      <c r="B131" s="130" t="s">
        <v>215</v>
      </c>
      <c r="C131" s="135" t="s">
        <v>343</v>
      </c>
      <c r="D131" s="109">
        <v>1621608.41</v>
      </c>
      <c r="E131" s="109">
        <v>0.0</v>
      </c>
      <c r="F131" s="109">
        <v>0.0</v>
      </c>
      <c r="G131" s="109">
        <v>0.0</v>
      </c>
      <c r="H131" s="144" t="str">
        <f t="shared" ref="H131:H136" si="96">SUM(D131:G131)</f>
        <v>1,621,608.41</v>
      </c>
      <c r="I131" s="93"/>
      <c r="J131" s="93"/>
      <c r="K131" s="109" t="str">
        <f t="shared" ref="K131:K136" si="97">(D131+E131)*1.034+F131+G131</f>
        <v>1,676,743.10</v>
      </c>
      <c r="L131" s="109" t="str">
        <f t="shared" ref="L131:L136" si="98">K131*1.18</f>
        <v>1,978,556.85</v>
      </c>
      <c r="M131" s="114" t="str">
        <f t="shared" ref="M131:M136" si="99">N131/L131</f>
        <v>0.94</v>
      </c>
      <c r="N131" s="109">
        <v>1857908.09</v>
      </c>
      <c r="O131" s="92"/>
      <c r="P131" s="1"/>
      <c r="Q131" s="1"/>
    </row>
    <row r="132" ht="12.75" customHeight="1">
      <c r="A132" s="197"/>
      <c r="B132" s="130" t="s">
        <v>217</v>
      </c>
      <c r="C132" s="135" t="s">
        <v>344</v>
      </c>
      <c r="D132" s="109">
        <v>6891.11</v>
      </c>
      <c r="E132" s="109">
        <v>0.0</v>
      </c>
      <c r="F132" s="109">
        <v>0.0</v>
      </c>
      <c r="G132" s="109">
        <v>0.0</v>
      </c>
      <c r="H132" s="144" t="str">
        <f t="shared" si="96"/>
        <v>6,891.11</v>
      </c>
      <c r="I132" s="93"/>
      <c r="J132" s="93"/>
      <c r="K132" s="109" t="str">
        <f t="shared" si="97"/>
        <v>7,125.41</v>
      </c>
      <c r="L132" s="109" t="str">
        <f t="shared" si="98"/>
        <v>8,407.98</v>
      </c>
      <c r="M132" s="114" t="str">
        <f t="shared" si="99"/>
        <v>1.00</v>
      </c>
      <c r="N132" s="109" t="str">
        <f t="shared" ref="N132:N136" si="100">L132</f>
        <v>8,407.98</v>
      </c>
      <c r="O132" s="92"/>
      <c r="P132" s="1"/>
      <c r="Q132" s="1"/>
    </row>
    <row r="133" ht="12.75" customHeight="1">
      <c r="A133" s="197"/>
      <c r="B133" s="130" t="s">
        <v>219</v>
      </c>
      <c r="C133" s="135" t="s">
        <v>249</v>
      </c>
      <c r="D133" s="109">
        <v>2246.75</v>
      </c>
      <c r="E133" s="109">
        <v>0.0</v>
      </c>
      <c r="F133" s="109">
        <v>0.0</v>
      </c>
      <c r="G133" s="109">
        <v>0.0</v>
      </c>
      <c r="H133" s="144" t="str">
        <f t="shared" si="96"/>
        <v>2,246.75</v>
      </c>
      <c r="I133" s="93"/>
      <c r="J133" s="93"/>
      <c r="K133" s="109" t="str">
        <f t="shared" si="97"/>
        <v>2,323.14</v>
      </c>
      <c r="L133" s="109" t="str">
        <f t="shared" si="98"/>
        <v>2,741.30</v>
      </c>
      <c r="M133" s="114" t="str">
        <f t="shared" si="99"/>
        <v>1.00</v>
      </c>
      <c r="N133" s="109" t="str">
        <f t="shared" si="100"/>
        <v>2,741.30</v>
      </c>
      <c r="O133" s="92"/>
      <c r="P133" s="1"/>
      <c r="Q133" s="1"/>
    </row>
    <row r="134" ht="36.0" customHeight="1">
      <c r="A134" s="197"/>
      <c r="B134" s="130" t="s">
        <v>221</v>
      </c>
      <c r="C134" s="135" t="s">
        <v>345</v>
      </c>
      <c r="D134" s="109">
        <v>32478.68</v>
      </c>
      <c r="E134" s="109">
        <v>0.0</v>
      </c>
      <c r="F134" s="109">
        <v>0.0</v>
      </c>
      <c r="G134" s="109">
        <v>0.0</v>
      </c>
      <c r="H134" s="144" t="str">
        <f t="shared" si="96"/>
        <v>32,478.68</v>
      </c>
      <c r="I134" s="93"/>
      <c r="J134" s="93"/>
      <c r="K134" s="109" t="str">
        <f t="shared" si="97"/>
        <v>33,582.96</v>
      </c>
      <c r="L134" s="109" t="str">
        <f t="shared" si="98"/>
        <v>39,627.89</v>
      </c>
      <c r="M134" s="114" t="str">
        <f t="shared" si="99"/>
        <v>1.00</v>
      </c>
      <c r="N134" s="109" t="str">
        <f t="shared" si="100"/>
        <v>39,627.89</v>
      </c>
      <c r="O134" s="92"/>
      <c r="P134" s="1"/>
      <c r="Q134" s="1"/>
    </row>
    <row r="135" ht="12.75" customHeight="1">
      <c r="A135" s="197"/>
      <c r="B135" s="130" t="s">
        <v>224</v>
      </c>
      <c r="C135" s="135" t="s">
        <v>252</v>
      </c>
      <c r="D135" s="109">
        <v>4101.74</v>
      </c>
      <c r="E135" s="109">
        <v>0.0</v>
      </c>
      <c r="F135" s="109">
        <v>0.0</v>
      </c>
      <c r="G135" s="109">
        <v>0.0</v>
      </c>
      <c r="H135" s="144" t="str">
        <f t="shared" si="96"/>
        <v>4,101.74</v>
      </c>
      <c r="I135" s="93"/>
      <c r="J135" s="93"/>
      <c r="K135" s="109" t="str">
        <f t="shared" si="97"/>
        <v>4,241.20</v>
      </c>
      <c r="L135" s="109" t="str">
        <f t="shared" si="98"/>
        <v>5,004.62</v>
      </c>
      <c r="M135" s="114" t="str">
        <f t="shared" si="99"/>
        <v>1.00</v>
      </c>
      <c r="N135" s="109" t="str">
        <f t="shared" si="100"/>
        <v>5,004.62</v>
      </c>
      <c r="O135" s="92"/>
      <c r="P135" s="1"/>
      <c r="Q135" s="1"/>
    </row>
    <row r="136" ht="12.75" customHeight="1">
      <c r="A136" s="197" t="s">
        <v>36</v>
      </c>
      <c r="B136" s="136" t="s">
        <v>346</v>
      </c>
      <c r="C136" s="135" t="s">
        <v>347</v>
      </c>
      <c r="D136" s="109">
        <v>28813.56</v>
      </c>
      <c r="E136" s="109">
        <v>0.0</v>
      </c>
      <c r="F136" s="109">
        <v>0.0</v>
      </c>
      <c r="G136" s="109">
        <v>0.0</v>
      </c>
      <c r="H136" s="144" t="str">
        <f t="shared" si="96"/>
        <v>28,813.56</v>
      </c>
      <c r="I136" s="93"/>
      <c r="J136" s="93"/>
      <c r="K136" s="109" t="str">
        <f t="shared" si="97"/>
        <v>29,793.22</v>
      </c>
      <c r="L136" s="109" t="str">
        <f t="shared" si="98"/>
        <v>35,156.00</v>
      </c>
      <c r="M136" s="114" t="str">
        <f t="shared" si="99"/>
        <v>1.00</v>
      </c>
      <c r="N136" s="109" t="str">
        <f t="shared" si="100"/>
        <v>35,156.00</v>
      </c>
      <c r="O136" s="92"/>
      <c r="P136" s="1"/>
      <c r="Q136" s="1"/>
    </row>
    <row r="137" ht="12.75" customHeight="1">
      <c r="A137" s="110"/>
      <c r="B137" s="112"/>
      <c r="C137" s="113" t="s">
        <v>45</v>
      </c>
      <c r="D137" s="139" t="str">
        <f t="shared" ref="D137:H137" si="101">SUM(D131:D136)</f>
        <v>1,696,140.25</v>
      </c>
      <c r="E137" s="139" t="str">
        <f t="shared" si="101"/>
        <v>0.00</v>
      </c>
      <c r="F137" s="139" t="str">
        <f t="shared" si="101"/>
        <v>0.00</v>
      </c>
      <c r="G137" s="139" t="str">
        <f t="shared" si="101"/>
        <v>0.00</v>
      </c>
      <c r="H137" s="139" t="str">
        <f t="shared" si="101"/>
        <v>1,696,140.25</v>
      </c>
      <c r="I137" s="93"/>
      <c r="J137" s="93"/>
      <c r="K137" s="127" t="str">
        <f t="shared" ref="K137:L137" si="102">SUM(K131:K136)</f>
        <v>1,753,809.02</v>
      </c>
      <c r="L137" s="127" t="str">
        <f t="shared" si="102"/>
        <v>2,069,494.64</v>
      </c>
      <c r="M137" s="114"/>
      <c r="N137" s="127" t="str">
        <f>SUM(N131:N136)</f>
        <v>1,948,845.88</v>
      </c>
      <c r="O137" s="92"/>
      <c r="P137" s="1"/>
      <c r="Q137" s="1"/>
    </row>
    <row r="138" ht="12.75" customHeight="1">
      <c r="A138" s="110" t="s">
        <v>46</v>
      </c>
      <c r="B138" s="112"/>
      <c r="C138" s="113" t="s">
        <v>47</v>
      </c>
      <c r="D138" s="110"/>
      <c r="E138" s="110"/>
      <c r="F138" s="110"/>
      <c r="G138" s="110"/>
      <c r="H138" s="110"/>
      <c r="I138" s="93"/>
      <c r="J138" s="93"/>
      <c r="K138" s="109"/>
      <c r="L138" s="109"/>
      <c r="M138" s="114"/>
      <c r="N138" s="109"/>
      <c r="O138" s="92"/>
      <c r="P138" s="1"/>
      <c r="Q138" s="1"/>
    </row>
    <row r="139" ht="25.5" customHeight="1">
      <c r="A139" s="110"/>
      <c r="B139" s="112"/>
      <c r="C139" s="115" t="s">
        <v>48</v>
      </c>
      <c r="D139" s="110"/>
      <c r="E139" s="110"/>
      <c r="F139" s="110"/>
      <c r="G139" s="110"/>
      <c r="H139" s="110"/>
      <c r="I139" s="93"/>
      <c r="J139" s="93"/>
      <c r="K139" s="109"/>
      <c r="L139" s="109"/>
      <c r="M139" s="114"/>
      <c r="N139" s="109"/>
      <c r="O139" s="92"/>
      <c r="P139" s="1"/>
      <c r="Q139" s="1"/>
    </row>
    <row r="140" ht="12.75" customHeight="1">
      <c r="A140" s="197" t="s">
        <v>265</v>
      </c>
      <c r="B140" s="112"/>
      <c r="C140" s="141" t="s">
        <v>49</v>
      </c>
      <c r="D140" s="144">
        <v>0.0</v>
      </c>
      <c r="E140" s="144">
        <v>0.0</v>
      </c>
      <c r="F140" s="144">
        <v>0.0</v>
      </c>
      <c r="G140" s="144">
        <v>0.0</v>
      </c>
      <c r="H140" s="144" t="str">
        <f t="shared" ref="H140:H141" si="104">SUM(D140:G140)</f>
        <v>0.00</v>
      </c>
      <c r="I140" s="93"/>
      <c r="J140" s="93"/>
      <c r="K140" s="109" t="str">
        <f t="shared" ref="K140:K141" si="105">(D140+E140)*1.034</f>
        <v>0.00</v>
      </c>
      <c r="L140" s="109" t="str">
        <f t="shared" ref="L140:L141" si="106">((D140+E140)*1.034+F140+G140)*1.18</f>
        <v>0.00</v>
      </c>
      <c r="M140" s="114"/>
      <c r="N140" s="109" t="str">
        <f>L140</f>
        <v>0.00</v>
      </c>
      <c r="O140" s="92"/>
      <c r="P140" s="1"/>
      <c r="Q140" s="1"/>
    </row>
    <row r="141" ht="12.75" customHeight="1">
      <c r="A141" s="110"/>
      <c r="B141" s="112"/>
      <c r="C141" s="113" t="s">
        <v>50</v>
      </c>
      <c r="D141" s="143" t="str">
        <f t="shared" ref="D141:G141" si="103">SUM(D140)</f>
        <v>0.00</v>
      </c>
      <c r="E141" s="143" t="str">
        <f t="shared" si="103"/>
        <v>0.00</v>
      </c>
      <c r="F141" s="143" t="str">
        <f t="shared" si="103"/>
        <v>0.00</v>
      </c>
      <c r="G141" s="143" t="str">
        <f t="shared" si="103"/>
        <v>0.00</v>
      </c>
      <c r="H141" s="143" t="str">
        <f t="shared" si="104"/>
        <v>0.00</v>
      </c>
      <c r="I141" s="93"/>
      <c r="J141" s="93"/>
      <c r="K141" s="109" t="str">
        <f t="shared" si="105"/>
        <v>0.00</v>
      </c>
      <c r="L141" s="127" t="str">
        <f t="shared" si="106"/>
        <v>0.00</v>
      </c>
      <c r="M141" s="114"/>
      <c r="N141" s="109" t="str">
        <f>N140</f>
        <v>0.00</v>
      </c>
      <c r="O141" s="92"/>
      <c r="P141" s="1"/>
      <c r="Q141" s="1"/>
    </row>
    <row r="142" ht="12.75" customHeight="1">
      <c r="A142" s="110" t="s">
        <v>51</v>
      </c>
      <c r="B142" s="112"/>
      <c r="C142" s="113" t="s">
        <v>52</v>
      </c>
      <c r="D142" s="110"/>
      <c r="E142" s="110"/>
      <c r="F142" s="110"/>
      <c r="G142" s="110"/>
      <c r="H142" s="110"/>
      <c r="I142" s="93"/>
      <c r="J142" s="93"/>
      <c r="K142" s="109"/>
      <c r="L142" s="109"/>
      <c r="M142" s="114"/>
      <c r="N142" s="109"/>
      <c r="O142" s="92"/>
      <c r="P142" s="1"/>
      <c r="Q142" s="1"/>
    </row>
    <row r="143" ht="12.75" customHeight="1">
      <c r="A143" s="110"/>
      <c r="B143" s="112"/>
      <c r="C143" s="115" t="s">
        <v>53</v>
      </c>
      <c r="D143" s="110"/>
      <c r="E143" s="110"/>
      <c r="F143" s="110"/>
      <c r="G143" s="110"/>
      <c r="H143" s="110"/>
      <c r="I143" s="93"/>
      <c r="J143" s="93"/>
      <c r="K143" s="109"/>
      <c r="L143" s="109"/>
      <c r="M143" s="114"/>
      <c r="N143" s="109"/>
      <c r="O143" s="92"/>
      <c r="P143" s="1"/>
      <c r="Q143" s="1"/>
    </row>
    <row r="144" ht="12.75" customHeight="1">
      <c r="A144" s="197" t="s">
        <v>54</v>
      </c>
      <c r="B144" s="122"/>
      <c r="C144" s="141" t="s">
        <v>49</v>
      </c>
      <c r="D144" s="144">
        <v>0.0</v>
      </c>
      <c r="E144" s="144">
        <v>0.0</v>
      </c>
      <c r="F144" s="144">
        <v>0.0</v>
      </c>
      <c r="G144" s="144">
        <v>0.0</v>
      </c>
      <c r="H144" s="144" t="str">
        <f>SUM(D144:G144)</f>
        <v>0.00</v>
      </c>
      <c r="I144" s="93"/>
      <c r="J144" s="93"/>
      <c r="K144" s="109" t="str">
        <f t="shared" ref="K144:K145" si="108">(D144+E144)*1.034</f>
        <v>0.00</v>
      </c>
      <c r="L144" s="109" t="str">
        <f t="shared" ref="L144:L145" si="109">((D144+E144)*1.034+F144+G144)*1.18</f>
        <v>0.00</v>
      </c>
      <c r="M144" s="114"/>
      <c r="N144" s="109" t="str">
        <f>L144</f>
        <v>0.00</v>
      </c>
      <c r="O144" s="92"/>
      <c r="P144" s="1"/>
      <c r="Q144" s="1"/>
    </row>
    <row r="145" ht="12.75" customHeight="1">
      <c r="A145" s="110"/>
      <c r="B145" s="112"/>
      <c r="C145" s="113" t="s">
        <v>57</v>
      </c>
      <c r="D145" s="139" t="str">
        <f t="shared" ref="D145:H145" si="107">D144</f>
        <v>0.00</v>
      </c>
      <c r="E145" s="139" t="str">
        <f t="shared" si="107"/>
        <v>0.00</v>
      </c>
      <c r="F145" s="139" t="str">
        <f t="shared" si="107"/>
        <v>0.00</v>
      </c>
      <c r="G145" s="139" t="str">
        <f t="shared" si="107"/>
        <v>0.00</v>
      </c>
      <c r="H145" s="139" t="str">
        <f t="shared" si="107"/>
        <v>0.00</v>
      </c>
      <c r="I145" s="93"/>
      <c r="J145" s="93"/>
      <c r="K145" s="109" t="str">
        <f t="shared" si="108"/>
        <v>0.00</v>
      </c>
      <c r="L145" s="127" t="str">
        <f t="shared" si="109"/>
        <v>0.00</v>
      </c>
      <c r="M145" s="114"/>
      <c r="N145" s="109" t="str">
        <f>SUM(N144)</f>
        <v>0.00</v>
      </c>
      <c r="O145" s="92"/>
      <c r="P145" s="1"/>
      <c r="Q145" s="1"/>
    </row>
    <row r="146" ht="12.75" customHeight="1">
      <c r="A146" s="110" t="s">
        <v>58</v>
      </c>
      <c r="B146" s="112"/>
      <c r="C146" s="113" t="s">
        <v>59</v>
      </c>
      <c r="D146" s="110"/>
      <c r="E146" s="110"/>
      <c r="F146" s="110"/>
      <c r="G146" s="110"/>
      <c r="H146" s="110"/>
      <c r="I146" s="93"/>
      <c r="J146" s="93"/>
      <c r="K146" s="109"/>
      <c r="L146" s="109"/>
      <c r="M146" s="114"/>
      <c r="N146" s="109"/>
      <c r="O146" s="92"/>
      <c r="P146" s="1"/>
      <c r="Q146" s="1"/>
    </row>
    <row r="147" ht="22.5" customHeight="1">
      <c r="A147" s="110"/>
      <c r="B147" s="112"/>
      <c r="C147" s="115" t="s">
        <v>60</v>
      </c>
      <c r="D147" s="110"/>
      <c r="E147" s="110"/>
      <c r="F147" s="110"/>
      <c r="G147" s="110"/>
      <c r="H147" s="110"/>
      <c r="I147" s="93"/>
      <c r="J147" s="93"/>
      <c r="K147" s="109"/>
      <c r="L147" s="109"/>
      <c r="M147" s="114"/>
      <c r="N147" s="109"/>
      <c r="O147" s="92"/>
      <c r="P147" s="1"/>
      <c r="Q147" s="1"/>
    </row>
    <row r="148" ht="12.75" customHeight="1">
      <c r="A148" s="197" t="s">
        <v>61</v>
      </c>
      <c r="B148" s="122"/>
      <c r="C148" s="141" t="s">
        <v>49</v>
      </c>
      <c r="D148" s="144">
        <v>0.0</v>
      </c>
      <c r="E148" s="144">
        <v>0.0</v>
      </c>
      <c r="F148" s="144">
        <v>0.0</v>
      </c>
      <c r="G148" s="144">
        <v>0.0</v>
      </c>
      <c r="H148" s="144" t="str">
        <f t="shared" ref="H148:H149" si="111">SUM(D148:G148)</f>
        <v>0.00</v>
      </c>
      <c r="I148" s="93"/>
      <c r="J148" s="93"/>
      <c r="K148" s="109" t="str">
        <f>(D148+E148)*1.034</f>
        <v>0.00</v>
      </c>
      <c r="L148" s="109" t="str">
        <f>((D148+E148)*1.034+F148+G148)*1.18</f>
        <v>0.00</v>
      </c>
      <c r="M148" s="114"/>
      <c r="N148" s="109" t="str">
        <f>L148</f>
        <v>0.00</v>
      </c>
      <c r="O148" s="92"/>
      <c r="P148" s="1"/>
      <c r="Q148" s="1"/>
    </row>
    <row r="149" ht="12.75" customHeight="1">
      <c r="A149" s="110"/>
      <c r="B149" s="112"/>
      <c r="C149" s="113" t="s">
        <v>62</v>
      </c>
      <c r="D149" s="143" t="str">
        <f t="shared" ref="D149:G149" si="110">D148</f>
        <v>0.00</v>
      </c>
      <c r="E149" s="143" t="str">
        <f t="shared" si="110"/>
        <v>0.00</v>
      </c>
      <c r="F149" s="143" t="str">
        <f t="shared" si="110"/>
        <v>0.00</v>
      </c>
      <c r="G149" s="143" t="str">
        <f t="shared" si="110"/>
        <v>0.00</v>
      </c>
      <c r="H149" s="143" t="str">
        <f t="shared" si="111"/>
        <v>0.00</v>
      </c>
      <c r="I149" s="93"/>
      <c r="J149" s="93"/>
      <c r="K149" s="109"/>
      <c r="L149" s="127" t="str">
        <f>L148</f>
        <v>0.00</v>
      </c>
      <c r="M149" s="114"/>
      <c r="N149" s="109" t="str">
        <f>N148</f>
        <v>0.00</v>
      </c>
      <c r="O149" s="92"/>
      <c r="P149" s="1"/>
      <c r="Q149" s="1"/>
    </row>
    <row r="150" ht="12.75" customHeight="1">
      <c r="A150" s="110" t="s">
        <v>63</v>
      </c>
      <c r="B150" s="112"/>
      <c r="C150" s="113" t="s">
        <v>64</v>
      </c>
      <c r="D150" s="110"/>
      <c r="E150" s="110"/>
      <c r="F150" s="110"/>
      <c r="G150" s="110"/>
      <c r="H150" s="110"/>
      <c r="I150" s="93"/>
      <c r="J150" s="93"/>
      <c r="K150" s="109"/>
      <c r="L150" s="109"/>
      <c r="M150" s="114"/>
      <c r="N150" s="109"/>
      <c r="O150" s="92"/>
      <c r="P150" s="1"/>
      <c r="Q150" s="1"/>
    </row>
    <row r="151" ht="51.0" customHeight="1">
      <c r="A151" s="110"/>
      <c r="B151" s="112"/>
      <c r="C151" s="115" t="s">
        <v>65</v>
      </c>
      <c r="D151" s="110"/>
      <c r="E151" s="110"/>
      <c r="F151" s="110"/>
      <c r="G151" s="110"/>
      <c r="H151" s="110"/>
      <c r="I151" s="93"/>
      <c r="J151" s="93"/>
      <c r="K151" s="109"/>
      <c r="L151" s="109"/>
      <c r="M151" s="114"/>
      <c r="N151" s="109"/>
      <c r="O151" s="92"/>
      <c r="P151" s="1"/>
      <c r="Q151" s="1"/>
    </row>
    <row r="152" ht="12.75" customHeight="1">
      <c r="A152" s="197" t="s">
        <v>66</v>
      </c>
      <c r="B152" s="122"/>
      <c r="C152" s="141" t="s">
        <v>49</v>
      </c>
      <c r="D152" s="144">
        <v>0.0</v>
      </c>
      <c r="E152" s="144">
        <v>0.0</v>
      </c>
      <c r="F152" s="144">
        <v>0.0</v>
      </c>
      <c r="G152" s="144">
        <v>0.0</v>
      </c>
      <c r="H152" s="144" t="str">
        <f t="shared" ref="H152:H153" si="113">SUM(D152:G152)</f>
        <v>0.00</v>
      </c>
      <c r="I152" s="93"/>
      <c r="J152" s="93"/>
      <c r="K152" s="109" t="str">
        <f>(D152+E152)*1.034</f>
        <v>0.00</v>
      </c>
      <c r="L152" s="109" t="str">
        <f>((D152+E152)*1.034+F152+G152)*1.18</f>
        <v>0.00</v>
      </c>
      <c r="M152" s="114"/>
      <c r="N152" s="109" t="str">
        <f>L152</f>
        <v>0.00</v>
      </c>
      <c r="O152" s="92"/>
      <c r="P152" s="1"/>
      <c r="Q152" s="1"/>
    </row>
    <row r="153" ht="12.75" customHeight="1">
      <c r="A153" s="110"/>
      <c r="B153" s="112"/>
      <c r="C153" s="113" t="s">
        <v>67</v>
      </c>
      <c r="D153" s="139" t="str">
        <f t="shared" ref="D153:G153" si="112">SUM(D152)</f>
        <v>0.00</v>
      </c>
      <c r="E153" s="139" t="str">
        <f t="shared" si="112"/>
        <v>0.00</v>
      </c>
      <c r="F153" s="139" t="str">
        <f t="shared" si="112"/>
        <v>0.00</v>
      </c>
      <c r="G153" s="139" t="str">
        <f t="shared" si="112"/>
        <v>0.00</v>
      </c>
      <c r="H153" s="139" t="str">
        <f t="shared" si="113"/>
        <v>0.00</v>
      </c>
      <c r="I153" s="93"/>
      <c r="J153" s="93"/>
      <c r="K153" s="109"/>
      <c r="L153" s="127" t="str">
        <f>L152</f>
        <v>0.00</v>
      </c>
      <c r="M153" s="114"/>
      <c r="N153" s="109" t="str">
        <f>N152</f>
        <v>0.00</v>
      </c>
      <c r="O153" s="92"/>
      <c r="P153" s="1"/>
      <c r="Q153" s="1"/>
    </row>
    <row r="154" ht="12.75" customHeight="1">
      <c r="A154" s="110" t="s">
        <v>68</v>
      </c>
      <c r="B154" s="112"/>
      <c r="C154" s="113" t="s">
        <v>69</v>
      </c>
      <c r="D154" s="110"/>
      <c r="E154" s="110"/>
      <c r="F154" s="110"/>
      <c r="G154" s="110"/>
      <c r="H154" s="110"/>
      <c r="I154" s="93"/>
      <c r="J154" s="93"/>
      <c r="K154" s="109"/>
      <c r="L154" s="109"/>
      <c r="M154" s="114"/>
      <c r="N154" s="109"/>
      <c r="O154" s="92"/>
      <c r="P154" s="1"/>
      <c r="Q154" s="1"/>
    </row>
    <row r="155" ht="25.5" customHeight="1">
      <c r="A155" s="110"/>
      <c r="B155" s="112"/>
      <c r="C155" s="115" t="s">
        <v>70</v>
      </c>
      <c r="D155" s="110"/>
      <c r="E155" s="110"/>
      <c r="F155" s="110"/>
      <c r="G155" s="110"/>
      <c r="H155" s="110"/>
      <c r="I155" s="93"/>
      <c r="J155" s="93"/>
      <c r="K155" s="109"/>
      <c r="L155" s="109"/>
      <c r="M155" s="114"/>
      <c r="N155" s="109"/>
      <c r="O155" s="92"/>
      <c r="P155" s="1"/>
      <c r="Q155" s="1"/>
    </row>
    <row r="156" ht="12.75" customHeight="1">
      <c r="A156" s="197" t="s">
        <v>71</v>
      </c>
      <c r="B156" s="122"/>
      <c r="C156" s="122" t="s">
        <v>49</v>
      </c>
      <c r="D156" s="144">
        <v>0.0</v>
      </c>
      <c r="E156" s="144">
        <v>0.0</v>
      </c>
      <c r="F156" s="144">
        <v>0.0</v>
      </c>
      <c r="G156" s="144">
        <v>0.0</v>
      </c>
      <c r="H156" s="144" t="str">
        <f t="shared" ref="H156:H158" si="115">SUM(D156:G156)</f>
        <v>0.00</v>
      </c>
      <c r="I156" s="93"/>
      <c r="J156" s="93"/>
      <c r="K156" s="109" t="str">
        <f>(D156+E156)*1.034</f>
        <v>0.00</v>
      </c>
      <c r="L156" s="109" t="str">
        <f>((D156+E156)*1.034+F156+G156)*1.18</f>
        <v>0.00</v>
      </c>
      <c r="M156" s="114"/>
      <c r="N156" s="109" t="str">
        <f>L156</f>
        <v>0.00</v>
      </c>
      <c r="O156" s="92"/>
      <c r="P156" s="1"/>
      <c r="Q156" s="1"/>
    </row>
    <row r="157" ht="12.75" customHeight="1">
      <c r="A157" s="110"/>
      <c r="B157" s="112"/>
      <c r="C157" s="113" t="s">
        <v>72</v>
      </c>
      <c r="D157" s="139" t="str">
        <f t="shared" ref="D157:G157" si="114">SUM(D156)</f>
        <v>0.00</v>
      </c>
      <c r="E157" s="139" t="str">
        <f t="shared" si="114"/>
        <v>0.00</v>
      </c>
      <c r="F157" s="139" t="str">
        <f t="shared" si="114"/>
        <v>0.00</v>
      </c>
      <c r="G157" s="139" t="str">
        <f t="shared" si="114"/>
        <v>0.00</v>
      </c>
      <c r="H157" s="139" t="str">
        <f t="shared" si="115"/>
        <v>0.00</v>
      </c>
      <c r="I157" s="93"/>
      <c r="J157" s="93"/>
      <c r="K157" s="109"/>
      <c r="L157" s="127" t="str">
        <f>L156</f>
        <v>0.00</v>
      </c>
      <c r="M157" s="114"/>
      <c r="N157" s="109" t="str">
        <f>N156</f>
        <v>0.00</v>
      </c>
      <c r="O157" s="92"/>
      <c r="P157" s="1"/>
      <c r="Q157" s="1"/>
    </row>
    <row r="158" ht="12.75" customHeight="1">
      <c r="A158" s="110"/>
      <c r="B158" s="112"/>
      <c r="C158" s="113" t="s">
        <v>73</v>
      </c>
      <c r="D158" s="139" t="str">
        <f t="shared" ref="D158:G158" si="116">D137+D128</f>
        <v>1,697,020.07</v>
      </c>
      <c r="E158" s="139" t="str">
        <f t="shared" si="116"/>
        <v>0.00</v>
      </c>
      <c r="F158" s="139" t="str">
        <f t="shared" si="116"/>
        <v>0.00</v>
      </c>
      <c r="G158" s="139" t="str">
        <f t="shared" si="116"/>
        <v>0.00</v>
      </c>
      <c r="H158" s="139" t="str">
        <f t="shared" si="115"/>
        <v>1,697,020.07</v>
      </c>
      <c r="I158" s="93"/>
      <c r="J158" s="93"/>
      <c r="K158" s="139" t="str">
        <f>K137+K128</f>
        <v>1,754,718.75</v>
      </c>
      <c r="L158" s="127" t="str">
        <f>L128+L137+L141+L145+L149+L153+L157</f>
        <v>2,070,568.13</v>
      </c>
      <c r="M158" s="114"/>
      <c r="N158" s="127" t="str">
        <f>N137+N128</f>
        <v>1,949,319.07</v>
      </c>
      <c r="O158" s="92"/>
      <c r="P158" s="1"/>
      <c r="Q158" s="1"/>
    </row>
    <row r="159" ht="12.75" customHeight="1">
      <c r="A159" s="110" t="s">
        <v>74</v>
      </c>
      <c r="B159" s="112"/>
      <c r="C159" s="113" t="s">
        <v>75</v>
      </c>
      <c r="D159" s="144"/>
      <c r="E159" s="144"/>
      <c r="F159" s="144"/>
      <c r="G159" s="144"/>
      <c r="H159" s="144"/>
      <c r="I159" s="93"/>
      <c r="J159" s="93"/>
      <c r="K159" s="109"/>
      <c r="L159" s="109"/>
      <c r="M159" s="114"/>
      <c r="N159" s="109"/>
      <c r="O159" s="92"/>
      <c r="P159" s="1"/>
      <c r="Q159" s="1"/>
    </row>
    <row r="160" ht="12.75" customHeight="1">
      <c r="A160" s="110"/>
      <c r="B160" s="112"/>
      <c r="C160" s="115" t="s">
        <v>76</v>
      </c>
      <c r="D160" s="144"/>
      <c r="E160" s="144"/>
      <c r="F160" s="144"/>
      <c r="G160" s="144"/>
      <c r="H160" s="144"/>
      <c r="I160" s="93"/>
      <c r="J160" s="93"/>
      <c r="K160" s="109"/>
      <c r="L160" s="109"/>
      <c r="M160" s="114"/>
      <c r="N160" s="109"/>
      <c r="O160" s="92"/>
      <c r="P160" s="1"/>
      <c r="Q160" s="1"/>
    </row>
    <row r="161" ht="12.75" customHeight="1">
      <c r="A161" s="197" t="s">
        <v>77</v>
      </c>
      <c r="B161" s="123" t="s">
        <v>291</v>
      </c>
      <c r="C161" s="119" t="s">
        <v>348</v>
      </c>
      <c r="D161" s="109">
        <v>3480.26</v>
      </c>
      <c r="E161" s="144">
        <v>0.0</v>
      </c>
      <c r="F161" s="144">
        <v>0.0</v>
      </c>
      <c r="G161" s="144">
        <v>0.0</v>
      </c>
      <c r="H161" s="144" t="str">
        <f t="shared" ref="H161:H163" si="117">SUM(D161:G161)</f>
        <v>3,480.26</v>
      </c>
      <c r="I161" s="93"/>
      <c r="J161" s="93"/>
      <c r="K161" s="109" t="str">
        <f t="shared" ref="K161:K163" si="118">(D161+E161)*1.034+F161+G161</f>
        <v>3,598.59</v>
      </c>
      <c r="L161" s="109" t="str">
        <f t="shared" ref="L161:L163" si="119">K161*1.18</f>
        <v>4,246.33</v>
      </c>
      <c r="M161" s="114" t="str">
        <f t="shared" ref="M161:M162" si="120">N161/L161</f>
        <v>1.00</v>
      </c>
      <c r="N161" s="109" t="str">
        <f t="shared" ref="N161:N162" si="121">L161</f>
        <v>4,246.33</v>
      </c>
      <c r="O161" s="92"/>
      <c r="P161" s="1"/>
      <c r="Q161" s="1"/>
    </row>
    <row r="162" ht="12.75" customHeight="1">
      <c r="A162" s="197" t="s">
        <v>349</v>
      </c>
      <c r="B162" s="123" t="s">
        <v>350</v>
      </c>
      <c r="C162" s="119" t="s">
        <v>351</v>
      </c>
      <c r="D162" s="109">
        <v>39.6</v>
      </c>
      <c r="E162" s="144">
        <v>88.58</v>
      </c>
      <c r="F162" s="144">
        <v>138.31</v>
      </c>
      <c r="G162" s="144">
        <v>0.0</v>
      </c>
      <c r="H162" s="144" t="str">
        <f t="shared" si="117"/>
        <v>266.49</v>
      </c>
      <c r="I162" s="93"/>
      <c r="J162" s="93"/>
      <c r="K162" s="109" t="str">
        <f t="shared" si="118"/>
        <v>270.85</v>
      </c>
      <c r="L162" s="109" t="str">
        <f t="shared" si="119"/>
        <v>319.60</v>
      </c>
      <c r="M162" s="114" t="str">
        <f t="shared" si="120"/>
        <v>1.00</v>
      </c>
      <c r="N162" s="109" t="str">
        <f t="shared" si="121"/>
        <v>319.60</v>
      </c>
      <c r="O162" s="92"/>
      <c r="P162" s="1"/>
      <c r="Q162" s="1"/>
    </row>
    <row r="163" ht="38.25" customHeight="1">
      <c r="A163" s="197" t="s">
        <v>352</v>
      </c>
      <c r="B163" s="123" t="s">
        <v>353</v>
      </c>
      <c r="C163" s="202" t="s">
        <v>354</v>
      </c>
      <c r="D163" s="156">
        <v>10.64</v>
      </c>
      <c r="E163" s="156">
        <v>86.41</v>
      </c>
      <c r="F163" s="156">
        <v>108.83</v>
      </c>
      <c r="G163" s="156">
        <v>0.0</v>
      </c>
      <c r="H163" s="156" t="str">
        <f t="shared" si="117"/>
        <v>205.88</v>
      </c>
      <c r="I163" s="128"/>
      <c r="J163" s="128"/>
      <c r="K163" s="109" t="str">
        <f t="shared" si="118"/>
        <v>209.18</v>
      </c>
      <c r="L163" s="109" t="str">
        <f t="shared" si="119"/>
        <v>246.83</v>
      </c>
      <c r="M163" s="114">
        <v>0.0</v>
      </c>
      <c r="N163" s="109">
        <v>0.0</v>
      </c>
      <c r="O163" s="129"/>
      <c r="P163" s="128"/>
      <c r="Q163" s="128"/>
    </row>
    <row r="164" ht="12.75" customHeight="1">
      <c r="A164" s="110"/>
      <c r="B164" s="141"/>
      <c r="C164" s="113" t="s">
        <v>80</v>
      </c>
      <c r="D164" s="139" t="str">
        <f t="shared" ref="D164:H164" si="122">SUM(D161:D163)</f>
        <v>3,530.50</v>
      </c>
      <c r="E164" s="139" t="str">
        <f t="shared" si="122"/>
        <v>174.99</v>
      </c>
      <c r="F164" s="139" t="str">
        <f t="shared" si="122"/>
        <v>247.14</v>
      </c>
      <c r="G164" s="139" t="str">
        <f t="shared" si="122"/>
        <v>0.00</v>
      </c>
      <c r="H164" s="139" t="str">
        <f t="shared" si="122"/>
        <v>3,952.63</v>
      </c>
      <c r="I164" s="93"/>
      <c r="J164" s="93"/>
      <c r="K164" s="127" t="str">
        <f t="shared" ref="K164:L164" si="123">SUM(K161:K163)</f>
        <v>4,078.62</v>
      </c>
      <c r="L164" s="127" t="str">
        <f t="shared" si="123"/>
        <v>4,812.77</v>
      </c>
      <c r="M164" s="114"/>
      <c r="N164" s="127" t="str">
        <f>SUM(N161:N163)</f>
        <v>4,565.94</v>
      </c>
      <c r="O164" s="92"/>
      <c r="P164" s="1"/>
      <c r="Q164" s="1"/>
    </row>
    <row r="165" ht="12.75" customHeight="1">
      <c r="A165" s="110"/>
      <c r="B165" s="141"/>
      <c r="C165" s="113" t="s">
        <v>81</v>
      </c>
      <c r="D165" s="139" t="str">
        <f>D164+D158</f>
        <v>1,700,550.57</v>
      </c>
      <c r="E165" s="139" t="str">
        <f t="shared" ref="E165:H165" si="124">SUM(E158,E164)</f>
        <v>174.99</v>
      </c>
      <c r="F165" s="139" t="str">
        <f t="shared" si="124"/>
        <v>247.14</v>
      </c>
      <c r="G165" s="139" t="str">
        <f t="shared" si="124"/>
        <v>0.00</v>
      </c>
      <c r="H165" s="139" t="str">
        <f t="shared" si="124"/>
        <v>1,700,972.70</v>
      </c>
      <c r="I165" s="93"/>
      <c r="J165" s="93"/>
      <c r="K165" s="139" t="str">
        <f>SUM(K158,K164)</f>
        <v>1,758,797.37</v>
      </c>
      <c r="L165" s="127" t="str">
        <f>L158+L164</f>
        <v>2,075,380.90</v>
      </c>
      <c r="M165" s="114"/>
      <c r="N165" s="127" t="str">
        <f>N158+N164</f>
        <v>1,953,885.01</v>
      </c>
      <c r="O165" s="92"/>
      <c r="P165" s="1"/>
      <c r="Q165" s="1"/>
    </row>
    <row r="166" ht="12.75" customHeight="1">
      <c r="A166" s="110" t="s">
        <v>82</v>
      </c>
      <c r="B166" s="141"/>
      <c r="C166" s="113" t="s">
        <v>83</v>
      </c>
      <c r="D166" s="144"/>
      <c r="E166" s="144"/>
      <c r="F166" s="144"/>
      <c r="G166" s="144"/>
      <c r="H166" s="144"/>
      <c r="I166" s="93"/>
      <c r="J166" s="93"/>
      <c r="K166" s="109"/>
      <c r="L166" s="109"/>
      <c r="M166" s="114"/>
      <c r="N166" s="109"/>
      <c r="O166" s="92"/>
      <c r="P166" s="1"/>
      <c r="Q166" s="1"/>
    </row>
    <row r="167" ht="12.75" customHeight="1">
      <c r="A167" s="110"/>
      <c r="B167" s="203"/>
      <c r="C167" s="113" t="s">
        <v>84</v>
      </c>
      <c r="D167" s="144"/>
      <c r="E167" s="144"/>
      <c r="F167" s="144"/>
      <c r="G167" s="144"/>
      <c r="H167" s="144"/>
      <c r="I167" s="93"/>
      <c r="J167" s="93"/>
      <c r="K167" s="109"/>
      <c r="L167" s="109"/>
      <c r="M167" s="114"/>
      <c r="N167" s="109"/>
      <c r="O167" s="92"/>
      <c r="P167" s="1"/>
      <c r="Q167" s="1"/>
    </row>
    <row r="168" ht="25.5" customHeight="1">
      <c r="A168" s="197" t="s">
        <v>85</v>
      </c>
      <c r="B168" s="135" t="s">
        <v>355</v>
      </c>
      <c r="C168" s="119" t="s">
        <v>356</v>
      </c>
      <c r="D168" s="109">
        <v>0.0</v>
      </c>
      <c r="E168" s="109">
        <v>0.0</v>
      </c>
      <c r="F168" s="109">
        <v>0.0</v>
      </c>
      <c r="G168" s="109">
        <v>22.708</v>
      </c>
      <c r="H168" s="109" t="str">
        <f t="shared" ref="H168:H173" si="125">SUM(D168:G168)</f>
        <v>22.71</v>
      </c>
      <c r="I168" s="93"/>
      <c r="J168" s="93"/>
      <c r="K168" s="109" t="str">
        <f>H168</f>
        <v>22.71</v>
      </c>
      <c r="L168" s="109">
        <v>26.79</v>
      </c>
      <c r="M168" s="114" t="str">
        <f t="shared" ref="M168:M170" si="126">N168/L168</f>
        <v>0.00</v>
      </c>
      <c r="N168" s="109">
        <v>0.0</v>
      </c>
      <c r="O168" s="92"/>
      <c r="P168" s="1"/>
      <c r="Q168" s="1"/>
    </row>
    <row r="169" ht="12.75" customHeight="1">
      <c r="A169" s="197" t="s">
        <v>88</v>
      </c>
      <c r="B169" s="184" t="s">
        <v>297</v>
      </c>
      <c r="C169" s="119" t="s">
        <v>298</v>
      </c>
      <c r="D169" s="109">
        <v>0.0</v>
      </c>
      <c r="E169" s="109">
        <v>0.0</v>
      </c>
      <c r="F169" s="109">
        <v>0.0</v>
      </c>
      <c r="G169" s="109">
        <v>2225.32</v>
      </c>
      <c r="H169" s="109" t="str">
        <f t="shared" si="125"/>
        <v>2,225.32</v>
      </c>
      <c r="I169" s="93"/>
      <c r="J169" s="93"/>
      <c r="K169" s="109" t="str">
        <f t="shared" ref="K169:K170" si="127">(D169+E169)*1.034</f>
        <v>0.00</v>
      </c>
      <c r="L169" s="109" t="str">
        <f t="shared" ref="L169:L170" si="128">((D169+E169)*1.034+F169+G169)*1.18</f>
        <v>2,625.88</v>
      </c>
      <c r="M169" s="114" t="str">
        <f t="shared" si="126"/>
        <v>1.00</v>
      </c>
      <c r="N169" s="109" t="str">
        <f t="shared" ref="N169:N170" si="129">L169</f>
        <v>2,625.88</v>
      </c>
      <c r="O169" s="92"/>
      <c r="P169" s="1"/>
      <c r="Q169" s="1"/>
    </row>
    <row r="170" ht="12.75" customHeight="1">
      <c r="A170" s="197" t="s">
        <v>296</v>
      </c>
      <c r="B170" s="184" t="s">
        <v>297</v>
      </c>
      <c r="C170" s="204" t="s">
        <v>299</v>
      </c>
      <c r="D170" s="109">
        <v>0.0</v>
      </c>
      <c r="E170" s="109">
        <v>0.0</v>
      </c>
      <c r="F170" s="109">
        <v>0.0</v>
      </c>
      <c r="G170" s="109">
        <v>952.26</v>
      </c>
      <c r="H170" s="109" t="str">
        <f t="shared" si="125"/>
        <v>952.26</v>
      </c>
      <c r="I170" s="93"/>
      <c r="J170" s="93"/>
      <c r="K170" s="109" t="str">
        <f t="shared" si="127"/>
        <v>0.00</v>
      </c>
      <c r="L170" s="109" t="str">
        <f t="shared" si="128"/>
        <v>1,123.67</v>
      </c>
      <c r="M170" s="114" t="str">
        <f t="shared" si="126"/>
        <v>1.00</v>
      </c>
      <c r="N170" s="109" t="str">
        <f t="shared" si="129"/>
        <v>1,123.67</v>
      </c>
      <c r="O170" s="92"/>
      <c r="P170" s="1"/>
      <c r="Q170" s="1"/>
    </row>
    <row r="171" ht="38.25" customHeight="1">
      <c r="A171" s="197" t="s">
        <v>91</v>
      </c>
      <c r="B171" s="135" t="s">
        <v>357</v>
      </c>
      <c r="C171" s="204" t="s">
        <v>358</v>
      </c>
      <c r="D171" s="148" t="str">
        <f t="shared" ref="D171:E171" si="130">D165*0.034</f>
        <v>57,818.72</v>
      </c>
      <c r="E171" s="148" t="str">
        <f t="shared" si="130"/>
        <v>5.95</v>
      </c>
      <c r="F171" s="109">
        <v>0.0</v>
      </c>
      <c r="G171" s="109">
        <v>0.0</v>
      </c>
      <c r="H171" s="148" t="str">
        <f t="shared" si="125"/>
        <v>57,824.67</v>
      </c>
      <c r="I171" s="93"/>
      <c r="J171" s="93"/>
      <c r="K171" s="109" t="str">
        <f>H171</f>
        <v>57,824.67</v>
      </c>
      <c r="L171" s="109"/>
      <c r="M171" s="114"/>
      <c r="N171" s="109">
        <v>0.0</v>
      </c>
      <c r="O171" s="92"/>
      <c r="P171" s="1"/>
      <c r="Q171" s="1"/>
    </row>
    <row r="172" ht="12.75" customHeight="1">
      <c r="A172" s="110"/>
      <c r="B172" s="141"/>
      <c r="C172" s="113" t="s">
        <v>92</v>
      </c>
      <c r="D172" s="139" t="str">
        <f t="shared" ref="D172:G172" si="131">D168+D169+D171+D170</f>
        <v>57,818.72</v>
      </c>
      <c r="E172" s="139" t="str">
        <f t="shared" si="131"/>
        <v>5.95</v>
      </c>
      <c r="F172" s="139" t="str">
        <f t="shared" si="131"/>
        <v>0.00</v>
      </c>
      <c r="G172" s="139" t="str">
        <f t="shared" si="131"/>
        <v>3,200.29</v>
      </c>
      <c r="H172" s="139" t="str">
        <f t="shared" si="125"/>
        <v>61,024.96</v>
      </c>
      <c r="I172" s="93"/>
      <c r="J172" s="93"/>
      <c r="K172" s="109"/>
      <c r="L172" s="127">
        <v>3776.35</v>
      </c>
      <c r="M172" s="114"/>
      <c r="N172" s="127">
        <v>3749.55</v>
      </c>
      <c r="O172" s="92"/>
      <c r="P172" s="1"/>
      <c r="Q172" s="1"/>
    </row>
    <row r="173" ht="12.75" customHeight="1">
      <c r="A173" s="110"/>
      <c r="B173" s="141"/>
      <c r="C173" s="113" t="s">
        <v>93</v>
      </c>
      <c r="D173" s="139" t="str">
        <f t="shared" ref="D173:G173" si="132">D165+D172</f>
        <v>1,758,369.29</v>
      </c>
      <c r="E173" s="139" t="str">
        <f t="shared" si="132"/>
        <v>180.94</v>
      </c>
      <c r="F173" s="139" t="str">
        <f t="shared" si="132"/>
        <v>247.14</v>
      </c>
      <c r="G173" s="139" t="str">
        <f t="shared" si="132"/>
        <v>3,200.29</v>
      </c>
      <c r="H173" s="139" t="str">
        <f t="shared" si="125"/>
        <v>1,761,997.66</v>
      </c>
      <c r="I173" s="93"/>
      <c r="J173" s="93"/>
      <c r="K173" s="109"/>
      <c r="L173" s="127" t="str">
        <f>L165+L172</f>
        <v>2,079,157.25</v>
      </c>
      <c r="M173" s="114"/>
      <c r="N173" s="127" t="str">
        <f>N165+N172</f>
        <v>1,957,634.56</v>
      </c>
      <c r="O173" s="92"/>
      <c r="P173" s="1"/>
      <c r="Q173" s="1"/>
    </row>
    <row r="174" ht="12.75" customHeight="1">
      <c r="A174" s="110" t="s">
        <v>94</v>
      </c>
      <c r="B174" s="141"/>
      <c r="C174" s="113" t="s">
        <v>95</v>
      </c>
      <c r="D174" s="139"/>
      <c r="E174" s="139"/>
      <c r="F174" s="139"/>
      <c r="G174" s="139"/>
      <c r="H174" s="139"/>
      <c r="I174" s="93"/>
      <c r="J174" s="93"/>
      <c r="K174" s="109"/>
      <c r="L174" s="109"/>
      <c r="M174" s="114"/>
      <c r="N174" s="109"/>
      <c r="O174" s="92"/>
      <c r="P174" s="1"/>
      <c r="Q174" s="1"/>
    </row>
    <row r="175" ht="38.25" customHeight="1">
      <c r="A175" s="110"/>
      <c r="B175" s="141"/>
      <c r="C175" s="149" t="s">
        <v>314</v>
      </c>
      <c r="D175" s="139"/>
      <c r="E175" s="139"/>
      <c r="F175" s="139"/>
      <c r="G175" s="139"/>
      <c r="H175" s="139"/>
      <c r="I175" s="93"/>
      <c r="J175" s="93"/>
      <c r="K175" s="109"/>
      <c r="L175" s="109"/>
      <c r="M175" s="114"/>
      <c r="N175" s="109"/>
      <c r="O175" s="92"/>
      <c r="P175" s="1"/>
      <c r="Q175" s="1"/>
    </row>
    <row r="176" ht="39.0" customHeight="1">
      <c r="A176" s="197" t="s">
        <v>97</v>
      </c>
      <c r="B176" s="136" t="s">
        <v>359</v>
      </c>
      <c r="C176" s="151" t="s">
        <v>99</v>
      </c>
      <c r="D176" s="109">
        <v>0.0</v>
      </c>
      <c r="E176" s="109">
        <v>0.0</v>
      </c>
      <c r="F176" s="109">
        <v>0.0</v>
      </c>
      <c r="G176" s="109" t="str">
        <f>(H173)*0.011</f>
        <v>19,381.97</v>
      </c>
      <c r="H176" s="109" t="str">
        <f t="shared" ref="H176:H178" si="134">SUM(D176:G176)</f>
        <v>19,381.97</v>
      </c>
      <c r="I176" s="93"/>
      <c r="J176" s="93"/>
      <c r="K176" s="109"/>
      <c r="L176" s="109" t="str">
        <f>G176*1.18</f>
        <v>22,870.73</v>
      </c>
      <c r="M176" s="114" t="str">
        <f>N176/L176</f>
        <v>0.94</v>
      </c>
      <c r="N176" s="109">
        <v>21533.98</v>
      </c>
      <c r="O176" s="92"/>
      <c r="P176" s="1"/>
      <c r="Q176" s="1"/>
    </row>
    <row r="177" ht="12.75" customHeight="1">
      <c r="A177" s="110"/>
      <c r="B177" s="112"/>
      <c r="C177" s="113" t="s">
        <v>100</v>
      </c>
      <c r="D177" s="143" t="str">
        <f t="shared" ref="D177:G177" si="133">SUM(D176)</f>
        <v>0.00</v>
      </c>
      <c r="E177" s="143" t="str">
        <f t="shared" si="133"/>
        <v>0.00</v>
      </c>
      <c r="F177" s="143" t="str">
        <f t="shared" si="133"/>
        <v>0.00</v>
      </c>
      <c r="G177" s="139" t="str">
        <f t="shared" si="133"/>
        <v>19,381.97</v>
      </c>
      <c r="H177" s="143" t="str">
        <f t="shared" si="134"/>
        <v>19381.97</v>
      </c>
      <c r="I177" s="205"/>
      <c r="J177" s="205"/>
      <c r="K177" s="127"/>
      <c r="L177" s="127" t="str">
        <f>L176</f>
        <v>22,870.73</v>
      </c>
      <c r="M177" s="140"/>
      <c r="N177" s="127" t="str">
        <f>N176</f>
        <v>21,533.98</v>
      </c>
      <c r="O177" s="92"/>
      <c r="P177" s="1"/>
      <c r="Q177" s="1"/>
    </row>
    <row r="178" ht="12.75" customHeight="1">
      <c r="A178" s="110"/>
      <c r="B178" s="112"/>
      <c r="C178" s="113" t="s">
        <v>101</v>
      </c>
      <c r="D178" s="139" t="str">
        <f t="shared" ref="D178:G178" si="135">SUM(D173,D177)</f>
        <v>1,758,369.29</v>
      </c>
      <c r="E178" s="139" t="str">
        <f t="shared" si="135"/>
        <v>180.94</v>
      </c>
      <c r="F178" s="139" t="str">
        <f t="shared" si="135"/>
        <v>247.14</v>
      </c>
      <c r="G178" s="139" t="str">
        <f t="shared" si="135"/>
        <v>22,582.26</v>
      </c>
      <c r="H178" s="139" t="str">
        <f t="shared" si="134"/>
        <v>1,781,379.63</v>
      </c>
      <c r="I178" s="93"/>
      <c r="J178" s="93"/>
      <c r="K178" s="109"/>
      <c r="L178" s="127" t="str">
        <f>L173+L177</f>
        <v>2,102,027.98</v>
      </c>
      <c r="M178" s="114"/>
      <c r="N178" s="127" t="str">
        <f>N173+N177</f>
        <v>1,979,168.54</v>
      </c>
      <c r="O178" s="92"/>
      <c r="P178" s="1"/>
      <c r="Q178" s="1"/>
    </row>
    <row r="179" ht="12.75" customHeight="1">
      <c r="A179" s="110" t="s">
        <v>102</v>
      </c>
      <c r="B179" s="112"/>
      <c r="C179" s="113" t="s">
        <v>103</v>
      </c>
      <c r="D179" s="139"/>
      <c r="E179" s="139"/>
      <c r="F179" s="139"/>
      <c r="G179" s="139"/>
      <c r="H179" s="139"/>
      <c r="I179" s="93"/>
      <c r="J179" s="93"/>
      <c r="K179" s="109"/>
      <c r="L179" s="109"/>
      <c r="M179" s="114"/>
      <c r="N179" s="109"/>
      <c r="O179" s="92"/>
      <c r="P179" s="1"/>
      <c r="Q179" s="1"/>
    </row>
    <row r="180" ht="12.75" customHeight="1">
      <c r="A180" s="110"/>
      <c r="B180" s="112"/>
      <c r="C180" s="115" t="s">
        <v>104</v>
      </c>
      <c r="D180" s="139"/>
      <c r="E180" s="139"/>
      <c r="F180" s="139"/>
      <c r="G180" s="139"/>
      <c r="H180" s="139"/>
      <c r="I180" s="93"/>
      <c r="J180" s="93"/>
      <c r="K180" s="109"/>
      <c r="L180" s="109"/>
      <c r="M180" s="114"/>
      <c r="N180" s="109"/>
      <c r="O180" s="92"/>
      <c r="P180" s="1"/>
      <c r="Q180" s="1"/>
    </row>
    <row r="181" ht="12.75" customHeight="1">
      <c r="A181" s="197" t="s">
        <v>316</v>
      </c>
      <c r="B181" s="112"/>
      <c r="C181" s="141" t="s">
        <v>49</v>
      </c>
      <c r="D181" s="144">
        <v>0.0</v>
      </c>
      <c r="E181" s="144">
        <v>0.0</v>
      </c>
      <c r="F181" s="144">
        <v>0.0</v>
      </c>
      <c r="G181" s="144">
        <v>0.0</v>
      </c>
      <c r="H181" s="144">
        <v>0.0</v>
      </c>
      <c r="I181" s="93"/>
      <c r="J181" s="93"/>
      <c r="K181" s="109" t="str">
        <f>(D181+E181)*1.034</f>
        <v>0.00</v>
      </c>
      <c r="L181" s="109" t="str">
        <f>((D181+E181)*1.034+F181+G181)*1.18</f>
        <v>0.00</v>
      </c>
      <c r="M181" s="114"/>
      <c r="N181" s="109" t="str">
        <f>L181</f>
        <v>0.00</v>
      </c>
      <c r="O181" s="92"/>
      <c r="P181" s="1"/>
      <c r="Q181" s="1"/>
    </row>
    <row r="182" ht="12.75" customHeight="1">
      <c r="A182" s="110"/>
      <c r="B182" s="112"/>
      <c r="C182" s="113" t="s">
        <v>105</v>
      </c>
      <c r="D182" s="143" t="str">
        <f t="shared" ref="D182:G182" si="136">SUM(D181)</f>
        <v>0.00</v>
      </c>
      <c r="E182" s="143" t="str">
        <f t="shared" si="136"/>
        <v>0.00</v>
      </c>
      <c r="F182" s="143" t="str">
        <f t="shared" si="136"/>
        <v>0.00</v>
      </c>
      <c r="G182" s="143" t="str">
        <f t="shared" si="136"/>
        <v>0.00</v>
      </c>
      <c r="H182" s="143" t="str">
        <f t="shared" ref="H182:H183" si="138">SUM(D182:G182)</f>
        <v>0.00</v>
      </c>
      <c r="I182" s="93"/>
      <c r="J182" s="93"/>
      <c r="K182" s="109"/>
      <c r="L182" s="109" t="str">
        <f>L181</f>
        <v>0.00</v>
      </c>
      <c r="M182" s="114"/>
      <c r="N182" s="109" t="str">
        <f>N181</f>
        <v>0.00</v>
      </c>
      <c r="O182" s="92"/>
      <c r="P182" s="1"/>
      <c r="Q182" s="1"/>
    </row>
    <row r="183" ht="12.75" customHeight="1">
      <c r="A183" s="110"/>
      <c r="B183" s="112"/>
      <c r="C183" s="113" t="s">
        <v>106</v>
      </c>
      <c r="D183" s="139" t="str">
        <f t="shared" ref="D183:G183" si="137">SUM(D178,D182)</f>
        <v>1,758,369.29</v>
      </c>
      <c r="E183" s="139" t="str">
        <f t="shared" si="137"/>
        <v>180.94</v>
      </c>
      <c r="F183" s="139" t="str">
        <f t="shared" si="137"/>
        <v>247.14</v>
      </c>
      <c r="G183" s="139" t="str">
        <f t="shared" si="137"/>
        <v>22,582.26</v>
      </c>
      <c r="H183" s="139" t="str">
        <f t="shared" si="138"/>
        <v>1,781,379.63</v>
      </c>
      <c r="I183" s="93"/>
      <c r="J183" s="93"/>
      <c r="K183" s="109"/>
      <c r="L183" s="127" t="str">
        <f>L178+L182</f>
        <v>2,102,027.98</v>
      </c>
      <c r="M183" s="114"/>
      <c r="N183" s="127" t="str">
        <f>N178+N182</f>
        <v>1,979,168.54</v>
      </c>
      <c r="O183" s="92"/>
      <c r="P183" s="1"/>
      <c r="Q183" s="1"/>
    </row>
    <row r="184" ht="12.75" customHeight="1">
      <c r="A184" s="110" t="s">
        <v>107</v>
      </c>
      <c r="B184" s="112"/>
      <c r="C184" s="113" t="s">
        <v>108</v>
      </c>
      <c r="D184" s="139"/>
      <c r="E184" s="139"/>
      <c r="F184" s="139"/>
      <c r="G184" s="139"/>
      <c r="H184" s="139"/>
      <c r="I184" s="93"/>
      <c r="J184" s="93"/>
      <c r="K184" s="109"/>
      <c r="L184" s="109"/>
      <c r="M184" s="114"/>
      <c r="N184" s="109"/>
      <c r="O184" s="92"/>
      <c r="P184" s="1"/>
      <c r="Q184" s="1"/>
    </row>
    <row r="185" ht="25.5" customHeight="1">
      <c r="A185" s="110"/>
      <c r="B185" s="112"/>
      <c r="C185" s="115" t="s">
        <v>109</v>
      </c>
      <c r="D185" s="139"/>
      <c r="E185" s="139"/>
      <c r="F185" s="139"/>
      <c r="G185" s="139"/>
      <c r="H185" s="139"/>
      <c r="I185" s="93"/>
      <c r="J185" s="93"/>
      <c r="K185" s="109"/>
      <c r="L185" s="109"/>
      <c r="M185" s="114"/>
      <c r="N185" s="109"/>
      <c r="O185" s="92"/>
      <c r="P185" s="1"/>
      <c r="Q185" s="1"/>
    </row>
    <row r="186" ht="24.0" customHeight="1">
      <c r="A186" s="111" t="s">
        <v>321</v>
      </c>
      <c r="B186" s="134" t="s">
        <v>360</v>
      </c>
      <c r="C186" s="206" t="s">
        <v>318</v>
      </c>
      <c r="D186" s="201">
        <v>0.0</v>
      </c>
      <c r="E186" s="201">
        <v>0.0</v>
      </c>
      <c r="F186" s="201">
        <v>0.0</v>
      </c>
      <c r="G186" s="201">
        <v>53424.9</v>
      </c>
      <c r="H186" s="201" t="str">
        <f>SUM(D186:G186)</f>
        <v>53,424.90</v>
      </c>
      <c r="I186" s="93"/>
      <c r="J186" s="93"/>
      <c r="K186" s="144"/>
      <c r="L186" s="144" t="str">
        <f>G186*1.18</f>
        <v>63,041.38</v>
      </c>
      <c r="M186" s="114" t="str">
        <f t="shared" ref="M186:M189" si="139">N186/L186</f>
        <v>1.00</v>
      </c>
      <c r="N186" s="109" t="str">
        <f t="shared" ref="N186:N188" si="140">L186</f>
        <v>63,041.38</v>
      </c>
      <c r="O186" s="129"/>
      <c r="P186" s="128"/>
      <c r="Q186" s="128"/>
    </row>
    <row r="187" ht="39.75" customHeight="1">
      <c r="A187" s="197" t="s">
        <v>122</v>
      </c>
      <c r="B187" s="207" t="s">
        <v>361</v>
      </c>
      <c r="C187" s="135" t="s">
        <v>362</v>
      </c>
      <c r="D187" s="144">
        <v>0.0</v>
      </c>
      <c r="E187" s="144">
        <v>0.0</v>
      </c>
      <c r="F187" s="144">
        <v>0.0</v>
      </c>
      <c r="G187" s="201" t="str">
        <f>1482.22-335.54</f>
        <v>1,146.68</v>
      </c>
      <c r="H187" s="201" t="str">
        <f t="shared" ref="H187:H189" si="141">G187</f>
        <v>1,146.68</v>
      </c>
      <c r="I187" s="93"/>
      <c r="J187" s="93"/>
      <c r="K187" s="144"/>
      <c r="L187" s="144">
        <v>1413.48</v>
      </c>
      <c r="M187" s="114" t="str">
        <f t="shared" si="139"/>
        <v>1.00</v>
      </c>
      <c r="N187" s="109" t="str">
        <f t="shared" si="140"/>
        <v>1,413.48</v>
      </c>
      <c r="O187" s="92"/>
      <c r="P187" s="1"/>
      <c r="Q187" s="1"/>
    </row>
    <row r="188" ht="25.5" customHeight="1">
      <c r="A188" s="197"/>
      <c r="B188" s="207"/>
      <c r="C188" s="135" t="s">
        <v>363</v>
      </c>
      <c r="D188" s="144"/>
      <c r="E188" s="144"/>
      <c r="F188" s="144"/>
      <c r="G188" s="109" t="str">
        <f>335.544</f>
        <v>335.54</v>
      </c>
      <c r="H188" s="201" t="str">
        <f t="shared" si="141"/>
        <v>335.54</v>
      </c>
      <c r="I188" s="93"/>
      <c r="J188" s="93"/>
      <c r="K188" s="144"/>
      <c r="L188" s="144" t="str">
        <f>G188</f>
        <v>335.54</v>
      </c>
      <c r="M188" s="114" t="str">
        <f t="shared" si="139"/>
        <v>1.00</v>
      </c>
      <c r="N188" s="109" t="str">
        <f t="shared" si="140"/>
        <v>335.54</v>
      </c>
      <c r="O188" s="92"/>
      <c r="P188" s="1"/>
      <c r="Q188" s="1"/>
    </row>
    <row r="189" ht="12.75" customHeight="1">
      <c r="A189" s="197"/>
      <c r="B189" s="207" t="s">
        <v>364</v>
      </c>
      <c r="C189" s="135" t="s">
        <v>320</v>
      </c>
      <c r="D189" s="144"/>
      <c r="E189" s="144"/>
      <c r="F189" s="144"/>
      <c r="G189" s="156" t="str">
        <f>H173*0.2%</f>
        <v>3,524.00</v>
      </c>
      <c r="H189" s="156" t="str">
        <f t="shared" si="141"/>
        <v>3,524.00</v>
      </c>
      <c r="I189" s="93"/>
      <c r="J189" s="93"/>
      <c r="K189" s="109"/>
      <c r="L189" s="109" t="str">
        <f>G189*1.18</f>
        <v>4,158.31</v>
      </c>
      <c r="M189" s="114" t="str">
        <f t="shared" si="139"/>
        <v>0.94</v>
      </c>
      <c r="N189" s="156">
        <v>3923.82</v>
      </c>
      <c r="O189" s="92"/>
      <c r="P189" s="1"/>
      <c r="Q189" s="1"/>
    </row>
    <row r="190" ht="12.75" customHeight="1">
      <c r="A190" s="110"/>
      <c r="B190" s="130"/>
      <c r="C190" s="113" t="s">
        <v>157</v>
      </c>
      <c r="D190" s="143" t="str">
        <f t="shared" ref="D190:F190" si="142">SUM(D186)</f>
        <v>0.00</v>
      </c>
      <c r="E190" s="143" t="str">
        <f t="shared" si="142"/>
        <v>0.00</v>
      </c>
      <c r="F190" s="143" t="str">
        <f t="shared" si="142"/>
        <v>0.00</v>
      </c>
      <c r="G190" s="139" t="str">
        <f>SUM(G186:G189)</f>
        <v>58,431.12</v>
      </c>
      <c r="H190" s="139" t="str">
        <f t="shared" ref="H190:H193" si="144">SUM(D190:G190)</f>
        <v>58,431.12</v>
      </c>
      <c r="I190" s="93"/>
      <c r="J190" s="93"/>
      <c r="K190" s="109"/>
      <c r="L190" s="127" t="str">
        <f>SUM(L186:L189)</f>
        <v>68,948.72</v>
      </c>
      <c r="M190" s="114"/>
      <c r="N190" s="127" t="str">
        <f>SUM(N186:N189)</f>
        <v>68,714.23</v>
      </c>
      <c r="O190" s="92"/>
      <c r="P190" s="92"/>
      <c r="Q190" s="1"/>
    </row>
    <row r="191" ht="12.75" customHeight="1">
      <c r="A191" s="110"/>
      <c r="B191" s="130"/>
      <c r="C191" s="113" t="s">
        <v>158</v>
      </c>
      <c r="D191" s="139" t="str">
        <f t="shared" ref="D191:G191" si="143">SUM(D183,D190)</f>
        <v>1,758,369.29</v>
      </c>
      <c r="E191" s="139" t="str">
        <f t="shared" si="143"/>
        <v>180.94</v>
      </c>
      <c r="F191" s="139" t="str">
        <f t="shared" si="143"/>
        <v>247.14</v>
      </c>
      <c r="G191" s="139" t="str">
        <f t="shared" si="143"/>
        <v>81,013.38</v>
      </c>
      <c r="H191" s="139" t="str">
        <f t="shared" si="144"/>
        <v>1,839,810.75</v>
      </c>
      <c r="I191" s="93"/>
      <c r="J191" s="93"/>
      <c r="K191" s="109"/>
      <c r="L191" s="127" t="str">
        <f>L183+L190</f>
        <v>2,170,976.70</v>
      </c>
      <c r="M191" s="114"/>
      <c r="N191" s="127" t="str">
        <f>N183+N190</f>
        <v>2,047,882.76</v>
      </c>
      <c r="O191" s="92"/>
      <c r="P191" s="1"/>
      <c r="Q191" s="1"/>
    </row>
    <row r="192" ht="25.5" customHeight="1">
      <c r="A192" s="110" t="s">
        <v>162</v>
      </c>
      <c r="B192" s="123" t="s">
        <v>163</v>
      </c>
      <c r="C192" s="122" t="s">
        <v>326</v>
      </c>
      <c r="D192" s="139" t="str">
        <f t="shared" ref="D192:G192" si="145">D191*0.02</f>
        <v>35,167.39</v>
      </c>
      <c r="E192" s="139" t="str">
        <f t="shared" si="145"/>
        <v>3.62</v>
      </c>
      <c r="F192" s="139" t="str">
        <f t="shared" si="145"/>
        <v>4.94</v>
      </c>
      <c r="G192" s="139" t="str">
        <f t="shared" si="145"/>
        <v>1,620.27</v>
      </c>
      <c r="H192" s="139" t="str">
        <f t="shared" si="144"/>
        <v>36,796.22</v>
      </c>
      <c r="I192" s="93"/>
      <c r="J192" s="93"/>
      <c r="K192" s="109"/>
      <c r="L192" s="127" t="str">
        <f>H192*1.18</f>
        <v>43,419.53</v>
      </c>
      <c r="M192" s="114" t="str">
        <f t="shared" ref="M192:M193" si="147">N192/L192</f>
        <v>0.02</v>
      </c>
      <c r="N192" s="159">
        <v>1034.03</v>
      </c>
      <c r="O192" s="92"/>
      <c r="P192" s="208"/>
      <c r="Q192" s="1"/>
    </row>
    <row r="193" ht="12.75" customHeight="1">
      <c r="A193" s="110" t="s">
        <v>165</v>
      </c>
      <c r="B193" s="112"/>
      <c r="C193" s="209" t="s">
        <v>365</v>
      </c>
      <c r="D193" s="139" t="str">
        <f t="shared" ref="D193:F193" si="146">D191+D192</f>
        <v>1,793,536.68</v>
      </c>
      <c r="E193" s="139" t="str">
        <f t="shared" si="146"/>
        <v>184.56</v>
      </c>
      <c r="F193" s="139" t="str">
        <f t="shared" si="146"/>
        <v>252.08</v>
      </c>
      <c r="G193" s="139">
        <v>82633.65</v>
      </c>
      <c r="H193" s="139" t="str">
        <f t="shared" si="144"/>
        <v>1,876,606.97</v>
      </c>
      <c r="I193" s="93"/>
      <c r="J193" s="93"/>
      <c r="K193" s="109"/>
      <c r="L193" s="159" t="str">
        <f>L191+L192</f>
        <v>2,214,396.23</v>
      </c>
      <c r="M193" s="114" t="str">
        <f t="shared" si="147"/>
        <v>0.93</v>
      </c>
      <c r="N193" s="210">
        <v>2048916.77172</v>
      </c>
      <c r="O193" s="211"/>
      <c r="P193" s="208"/>
      <c r="Q193" s="1"/>
    </row>
    <row r="194" ht="25.5" customHeight="1">
      <c r="A194" s="212">
        <v>18.0</v>
      </c>
      <c r="B194" s="169"/>
      <c r="C194" s="213" t="s">
        <v>328</v>
      </c>
      <c r="D194" s="172" t="str">
        <f t="shared" ref="D194:F194" si="148">D193*0.18</f>
        <v>322,836.60</v>
      </c>
      <c r="E194" s="172" t="str">
        <f t="shared" si="148"/>
        <v>33.22</v>
      </c>
      <c r="F194" s="172" t="str">
        <f t="shared" si="148"/>
        <v>45.37</v>
      </c>
      <c r="G194" s="172">
        <v>14874.06</v>
      </c>
      <c r="H194" s="172">
        <v>337789.26</v>
      </c>
      <c r="I194" s="214"/>
      <c r="J194" s="214"/>
      <c r="K194" s="215"/>
      <c r="L194" s="215"/>
      <c r="M194" s="216"/>
      <c r="N194" s="215"/>
      <c r="O194" s="177"/>
      <c r="P194" s="178"/>
      <c r="Q194" s="178"/>
    </row>
    <row r="195" ht="12.75" customHeight="1">
      <c r="A195" s="217">
        <v>19.0</v>
      </c>
      <c r="B195" s="179"/>
      <c r="C195" s="181" t="s">
        <v>366</v>
      </c>
      <c r="D195" s="166" t="str">
        <f t="shared" ref="D195:H195" si="149">D193+D194</f>
        <v>2,116,373.28</v>
      </c>
      <c r="E195" s="166" t="str">
        <f t="shared" si="149"/>
        <v>217.78</v>
      </c>
      <c r="F195" s="166" t="str">
        <f t="shared" si="149"/>
        <v>297.46</v>
      </c>
      <c r="G195" s="166" t="str">
        <f t="shared" si="149"/>
        <v>97,507.71</v>
      </c>
      <c r="H195" s="218" t="str">
        <f t="shared" si="149"/>
        <v>2,214,396.23</v>
      </c>
      <c r="I195" s="182"/>
      <c r="J195" s="182"/>
      <c r="K195" s="219"/>
      <c r="L195" s="219"/>
      <c r="M195" s="220"/>
      <c r="N195" s="221" t="str">
        <f>N193</f>
        <v>2,048,916.77172</v>
      </c>
      <c r="O195" s="92"/>
      <c r="P195" s="1"/>
      <c r="Q195" s="1"/>
    </row>
    <row r="196" ht="12.75" customHeight="1">
      <c r="A196" s="110"/>
      <c r="B196" s="112"/>
      <c r="C196" s="115"/>
      <c r="D196" s="139"/>
      <c r="E196" s="139"/>
      <c r="F196" s="139"/>
      <c r="G196" s="139"/>
      <c r="H196" s="222"/>
      <c r="I196" s="223"/>
      <c r="J196" s="223"/>
      <c r="K196" s="109"/>
      <c r="L196" s="109"/>
      <c r="M196" s="152"/>
      <c r="N196" s="109"/>
      <c r="O196" s="92"/>
      <c r="P196" s="1"/>
      <c r="Q196" s="1"/>
    </row>
    <row r="197" ht="12.75" customHeight="1">
      <c r="A197" s="89"/>
      <c r="B197" s="88"/>
      <c r="C197" s="88"/>
      <c r="D197" s="89"/>
      <c r="E197" s="89"/>
      <c r="F197" s="89"/>
      <c r="G197" s="89"/>
      <c r="H197" s="224"/>
      <c r="I197" s="93"/>
      <c r="J197" s="93"/>
      <c r="K197" s="95"/>
      <c r="L197" s="225"/>
      <c r="M197" s="96"/>
      <c r="N197" s="95"/>
      <c r="O197" s="92"/>
      <c r="P197" s="1"/>
      <c r="Q197" s="1"/>
    </row>
    <row r="198" ht="12.75" customHeight="1">
      <c r="A198" s="89"/>
      <c r="B198" s="88"/>
      <c r="C198" s="88"/>
      <c r="D198" s="89"/>
      <c r="E198" s="89"/>
      <c r="F198" s="89"/>
      <c r="G198" s="89"/>
      <c r="H198" s="226"/>
      <c r="I198" s="93"/>
      <c r="J198" s="93"/>
      <c r="K198" s="95"/>
      <c r="L198" s="95"/>
      <c r="M198" s="96"/>
      <c r="N198" s="95"/>
      <c r="O198" s="92"/>
      <c r="P198" s="1"/>
      <c r="Q198" s="1"/>
    </row>
    <row r="199" ht="12.75" customHeight="1">
      <c r="A199" s="149" t="s">
        <v>367</v>
      </c>
      <c r="O199" s="92"/>
      <c r="P199" s="1"/>
      <c r="Q199" s="1"/>
    </row>
    <row r="200" ht="12.75" customHeight="1">
      <c r="A200" s="102" t="s">
        <v>368</v>
      </c>
      <c r="O200" s="92"/>
      <c r="P200" s="1"/>
      <c r="Q200" s="1"/>
    </row>
    <row r="201" ht="12.75" customHeight="1">
      <c r="A201" s="88" t="s">
        <v>185</v>
      </c>
      <c r="B201" s="101"/>
      <c r="C201" s="101"/>
      <c r="D201" s="102"/>
      <c r="E201" s="102"/>
      <c r="F201" s="102"/>
      <c r="G201" s="102"/>
      <c r="H201" s="102"/>
      <c r="I201" s="93"/>
      <c r="J201" s="93"/>
      <c r="K201" s="95"/>
      <c r="L201" s="95"/>
      <c r="M201" s="96"/>
      <c r="N201" s="95"/>
      <c r="O201" s="92"/>
      <c r="P201" s="1"/>
      <c r="Q201" s="1"/>
    </row>
    <row r="202" ht="12.75" customHeight="1">
      <c r="A202" s="88"/>
      <c r="B202" s="88"/>
      <c r="C202" s="88"/>
      <c r="D202" s="89"/>
      <c r="E202" s="89"/>
      <c r="F202" s="227" t="str">
        <f>N284</f>
        <v>2,111,788.19</v>
      </c>
      <c r="G202" s="19"/>
      <c r="H202" s="102" t="s">
        <v>10</v>
      </c>
      <c r="I202" s="93"/>
      <c r="J202" s="93"/>
      <c r="K202" s="95"/>
      <c r="L202" s="95"/>
      <c r="M202" s="96"/>
      <c r="N202" s="95"/>
      <c r="O202" s="92"/>
      <c r="P202" s="1"/>
      <c r="Q202" s="1"/>
    </row>
    <row r="203" ht="12.75" customHeight="1">
      <c r="A203" s="104" t="s">
        <v>11</v>
      </c>
      <c r="B203" s="104" t="s">
        <v>12</v>
      </c>
      <c r="C203" s="104" t="s">
        <v>13</v>
      </c>
      <c r="D203" s="105" t="s">
        <v>14</v>
      </c>
      <c r="E203" s="33"/>
      <c r="F203" s="33"/>
      <c r="G203" s="34"/>
      <c r="H203" s="104" t="s">
        <v>15</v>
      </c>
      <c r="I203" s="93"/>
      <c r="J203" s="93"/>
      <c r="K203" s="105" t="s">
        <v>187</v>
      </c>
      <c r="L203" s="33"/>
      <c r="M203" s="33"/>
      <c r="N203" s="34"/>
      <c r="O203" s="92"/>
      <c r="P203" s="1"/>
      <c r="Q203" s="1"/>
    </row>
    <row r="204" ht="38.25" customHeight="1">
      <c r="A204" s="35"/>
      <c r="B204" s="35"/>
      <c r="C204" s="35"/>
      <c r="D204" s="106" t="s">
        <v>16</v>
      </c>
      <c r="E204" s="106" t="s">
        <v>17</v>
      </c>
      <c r="F204" s="106" t="s">
        <v>18</v>
      </c>
      <c r="G204" s="106" t="s">
        <v>19</v>
      </c>
      <c r="H204" s="35"/>
      <c r="I204" s="93"/>
      <c r="J204" s="93"/>
      <c r="K204" s="107" t="s">
        <v>341</v>
      </c>
      <c r="L204" s="107" t="s">
        <v>190</v>
      </c>
      <c r="M204" s="108" t="s">
        <v>191</v>
      </c>
      <c r="N204" s="109" t="s">
        <v>192</v>
      </c>
      <c r="O204" s="92"/>
      <c r="P204" s="1"/>
      <c r="Q204" s="1"/>
    </row>
    <row r="205" ht="12.75" customHeight="1">
      <c r="A205" s="110">
        <v>1.0</v>
      </c>
      <c r="B205" s="110">
        <v>2.0</v>
      </c>
      <c r="C205" s="110">
        <v>3.0</v>
      </c>
      <c r="D205" s="110">
        <v>4.0</v>
      </c>
      <c r="E205" s="110">
        <v>5.0</v>
      </c>
      <c r="F205" s="110">
        <v>6.0</v>
      </c>
      <c r="G205" s="110">
        <v>7.0</v>
      </c>
      <c r="H205" s="110">
        <v>8.0</v>
      </c>
      <c r="I205" s="93"/>
      <c r="J205" s="93"/>
      <c r="K205" s="111">
        <v>9.0</v>
      </c>
      <c r="L205" s="111" t="s">
        <v>193</v>
      </c>
      <c r="M205" s="111" t="s">
        <v>194</v>
      </c>
      <c r="N205" s="111" t="s">
        <v>195</v>
      </c>
      <c r="O205" s="92"/>
      <c r="P205" s="1"/>
      <c r="Q205" s="1"/>
    </row>
    <row r="206" ht="12.75" customHeight="1">
      <c r="A206" s="112" t="s">
        <v>20</v>
      </c>
      <c r="B206" s="112"/>
      <c r="C206" s="113" t="s">
        <v>21</v>
      </c>
      <c r="D206" s="110"/>
      <c r="E206" s="110"/>
      <c r="F206" s="110"/>
      <c r="G206" s="110"/>
      <c r="H206" s="110"/>
      <c r="I206" s="93"/>
      <c r="J206" s="93"/>
      <c r="K206" s="109"/>
      <c r="L206" s="109"/>
      <c r="M206" s="114"/>
      <c r="N206" s="109"/>
      <c r="O206" s="92"/>
      <c r="P206" s="1"/>
      <c r="Q206" s="1"/>
    </row>
    <row r="207" ht="12.75" customHeight="1">
      <c r="A207" s="112"/>
      <c r="B207" s="112"/>
      <c r="C207" s="115" t="s">
        <v>22</v>
      </c>
      <c r="D207" s="110"/>
      <c r="E207" s="110"/>
      <c r="F207" s="110"/>
      <c r="G207" s="110"/>
      <c r="H207" s="110"/>
      <c r="I207" s="93"/>
      <c r="J207" s="93"/>
      <c r="K207" s="109"/>
      <c r="L207" s="109"/>
      <c r="M207" s="114"/>
      <c r="N207" s="109"/>
      <c r="O207" s="92"/>
      <c r="P207" s="1"/>
      <c r="Q207" s="1"/>
    </row>
    <row r="208" ht="25.5" customHeight="1">
      <c r="A208" s="117" t="s">
        <v>196</v>
      </c>
      <c r="B208" s="118" t="s">
        <v>197</v>
      </c>
      <c r="C208" s="122" t="s">
        <v>198</v>
      </c>
      <c r="D208" s="144">
        <v>0.0</v>
      </c>
      <c r="E208" s="144">
        <v>0.0</v>
      </c>
      <c r="F208" s="144">
        <v>0.0</v>
      </c>
      <c r="G208" s="144">
        <v>79.49</v>
      </c>
      <c r="H208" s="144" t="str">
        <f>SUM(D208:G208)</f>
        <v>79.49</v>
      </c>
      <c r="I208" s="93"/>
      <c r="J208" s="93"/>
      <c r="K208" s="109" t="str">
        <f t="shared" ref="K208:K210" si="150">(D208+E208)*1.034+F208+G208</f>
        <v>79.49</v>
      </c>
      <c r="L208" s="109" t="str">
        <f t="shared" ref="L208:L210" si="151">K208*1.18</f>
        <v>93.80</v>
      </c>
      <c r="M208" s="114" t="str">
        <f t="shared" ref="M208:M211" si="152">N208/L208</f>
        <v>1.00</v>
      </c>
      <c r="N208" s="109" t="str">
        <f t="shared" ref="N208:N209" si="153">L208</f>
        <v>93.80</v>
      </c>
      <c r="O208" s="92"/>
      <c r="P208" s="1"/>
      <c r="Q208" s="1"/>
    </row>
    <row r="209" ht="12.75" customHeight="1">
      <c r="A209" s="117" t="s">
        <v>199</v>
      </c>
      <c r="B209" s="118" t="s">
        <v>369</v>
      </c>
      <c r="C209" s="122" t="s">
        <v>205</v>
      </c>
      <c r="D209" s="144">
        <v>209.32</v>
      </c>
      <c r="E209" s="144">
        <v>0.0</v>
      </c>
      <c r="F209" s="144">
        <v>0.0</v>
      </c>
      <c r="G209" s="144">
        <v>0.0</v>
      </c>
      <c r="H209" s="144" t="str">
        <f>D209+E209+F209+G209</f>
        <v>209.32</v>
      </c>
      <c r="I209" s="93"/>
      <c r="J209" s="93"/>
      <c r="K209" s="109" t="str">
        <f t="shared" si="150"/>
        <v>216.44</v>
      </c>
      <c r="L209" s="109" t="str">
        <f t="shared" si="151"/>
        <v>255.40</v>
      </c>
      <c r="M209" s="114" t="str">
        <f t="shared" si="152"/>
        <v>1.00</v>
      </c>
      <c r="N209" s="109" t="str">
        <f t="shared" si="153"/>
        <v>255.40</v>
      </c>
      <c r="O209" s="92"/>
      <c r="P209" s="1"/>
      <c r="Q209" s="1"/>
    </row>
    <row r="210" ht="25.5" customHeight="1">
      <c r="A210" s="117" t="s">
        <v>24</v>
      </c>
      <c r="B210" s="123" t="s">
        <v>213</v>
      </c>
      <c r="C210" s="119" t="s">
        <v>214</v>
      </c>
      <c r="D210" s="109">
        <v>0.0</v>
      </c>
      <c r="E210" s="109">
        <v>0.0</v>
      </c>
      <c r="F210" s="109">
        <v>0.0</v>
      </c>
      <c r="G210" s="109">
        <v>1988.44</v>
      </c>
      <c r="H210" s="109" t="str">
        <f t="shared" ref="H210:H211" si="154">SUM(D210:G210)</f>
        <v>1,988.44</v>
      </c>
      <c r="I210" s="93"/>
      <c r="J210" s="93"/>
      <c r="K210" s="109" t="str">
        <f t="shared" si="150"/>
        <v>1,988.44</v>
      </c>
      <c r="L210" s="109" t="str">
        <f t="shared" si="151"/>
        <v>2,346.36</v>
      </c>
      <c r="M210" s="114" t="str">
        <f t="shared" si="152"/>
        <v>0.71</v>
      </c>
      <c r="N210" s="109">
        <v>1675.85</v>
      </c>
      <c r="O210" s="92"/>
      <c r="P210" s="1"/>
      <c r="Q210" s="1"/>
    </row>
    <row r="211" ht="12.75" customHeight="1">
      <c r="A211" s="117" t="s">
        <v>27</v>
      </c>
      <c r="B211" s="123" t="s">
        <v>297</v>
      </c>
      <c r="C211" s="119" t="s">
        <v>370</v>
      </c>
      <c r="D211" s="109">
        <v>0.0</v>
      </c>
      <c r="E211" s="109">
        <v>0.0</v>
      </c>
      <c r="F211" s="109">
        <v>0.0</v>
      </c>
      <c r="G211" s="109">
        <v>62650.62</v>
      </c>
      <c r="H211" s="109" t="str">
        <f t="shared" si="154"/>
        <v>62,650.62</v>
      </c>
      <c r="I211" s="93"/>
      <c r="J211" s="93"/>
      <c r="K211" s="109" t="str">
        <f>H211</f>
        <v>62,650.62</v>
      </c>
      <c r="L211" s="156" t="str">
        <f>H211</f>
        <v>62,650.62</v>
      </c>
      <c r="M211" s="114" t="str">
        <f t="shared" si="152"/>
        <v>0.86</v>
      </c>
      <c r="N211" s="109">
        <v>53845.71</v>
      </c>
      <c r="O211" s="92"/>
      <c r="P211" s="1"/>
      <c r="Q211" s="1"/>
    </row>
    <row r="212" ht="12.75" customHeight="1">
      <c r="A212" s="112"/>
      <c r="B212" s="130"/>
      <c r="C212" s="113" t="s">
        <v>29</v>
      </c>
      <c r="D212" s="139" t="str">
        <f t="shared" ref="D212:H212" si="155">SUM(D208:D211)</f>
        <v>209.32</v>
      </c>
      <c r="E212" s="139" t="str">
        <f t="shared" si="155"/>
        <v>0.00</v>
      </c>
      <c r="F212" s="139" t="str">
        <f t="shared" si="155"/>
        <v>0.00</v>
      </c>
      <c r="G212" s="139" t="str">
        <f t="shared" si="155"/>
        <v>64,718.55</v>
      </c>
      <c r="H212" s="139" t="str">
        <f t="shared" si="155"/>
        <v>64,927.87</v>
      </c>
      <c r="I212" s="93"/>
      <c r="J212" s="93"/>
      <c r="K212" s="127" t="str">
        <f t="shared" ref="K212:L212" si="156">SUM(K208:K211)</f>
        <v>64,934.99</v>
      </c>
      <c r="L212" s="127" t="str">
        <f t="shared" si="156"/>
        <v>65,346.17</v>
      </c>
      <c r="M212" s="114"/>
      <c r="N212" s="127">
        <v>55870.76</v>
      </c>
      <c r="O212" s="92"/>
      <c r="P212" s="1"/>
      <c r="Q212" s="1"/>
    </row>
    <row r="213" ht="12.75" customHeight="1">
      <c r="A213" s="112" t="s">
        <v>30</v>
      </c>
      <c r="B213" s="130"/>
      <c r="C213" s="113" t="s">
        <v>31</v>
      </c>
      <c r="D213" s="110"/>
      <c r="E213" s="110"/>
      <c r="F213" s="110"/>
      <c r="G213" s="110"/>
      <c r="H213" s="110"/>
      <c r="I213" s="93"/>
      <c r="J213" s="93"/>
      <c r="K213" s="109"/>
      <c r="L213" s="109"/>
      <c r="M213" s="114"/>
      <c r="N213" s="109"/>
      <c r="O213" s="92"/>
      <c r="P213" s="1"/>
      <c r="Q213" s="1"/>
    </row>
    <row r="214" ht="12.75" customHeight="1">
      <c r="A214" s="112"/>
      <c r="B214" s="130"/>
      <c r="C214" s="113" t="s">
        <v>32</v>
      </c>
      <c r="D214" s="110"/>
      <c r="E214" s="110"/>
      <c r="F214" s="110"/>
      <c r="G214" s="110"/>
      <c r="H214" s="110"/>
      <c r="I214" s="93"/>
      <c r="J214" s="93"/>
      <c r="K214" s="109"/>
      <c r="L214" s="109"/>
      <c r="M214" s="114"/>
      <c r="N214" s="109"/>
      <c r="O214" s="92"/>
      <c r="P214" s="1"/>
      <c r="Q214" s="1"/>
    </row>
    <row r="215" ht="12.75" customHeight="1">
      <c r="A215" s="117" t="s">
        <v>33</v>
      </c>
      <c r="B215" s="118" t="s">
        <v>371</v>
      </c>
      <c r="C215" s="141" t="s">
        <v>343</v>
      </c>
      <c r="D215" s="144">
        <v>1078640.56</v>
      </c>
      <c r="E215" s="142">
        <v>0.0</v>
      </c>
      <c r="F215" s="142">
        <v>0.0</v>
      </c>
      <c r="G215" s="142">
        <v>0.0</v>
      </c>
      <c r="H215" s="109" t="str">
        <f t="shared" ref="H215:H224" si="157">SUM(D215:G215)</f>
        <v>1,078,640.56</v>
      </c>
      <c r="I215" s="93"/>
      <c r="J215" s="93"/>
      <c r="K215" s="109" t="str">
        <f t="shared" ref="K215:K224" si="158">(D215+E215)*1.034+F215+G215</f>
        <v>1,115,314.34</v>
      </c>
      <c r="L215" s="109" t="str">
        <f t="shared" ref="L215:L224" si="159">K215*1.18</f>
        <v>1,316,070.92</v>
      </c>
      <c r="M215" s="114" t="str">
        <f t="shared" ref="M215:M224" si="160">N215/L215</f>
        <v>1.00</v>
      </c>
      <c r="N215" s="109" t="str">
        <f t="shared" ref="N215:N224" si="161">L215</f>
        <v>1,316,070.92</v>
      </c>
      <c r="O215" s="92"/>
      <c r="P215" s="1"/>
      <c r="Q215" s="1"/>
    </row>
    <row r="216" ht="12.75" customHeight="1">
      <c r="A216" s="117" t="s">
        <v>36</v>
      </c>
      <c r="B216" s="118" t="s">
        <v>372</v>
      </c>
      <c r="C216" s="141" t="s">
        <v>373</v>
      </c>
      <c r="D216" s="144">
        <v>51299.25</v>
      </c>
      <c r="E216" s="142">
        <v>0.0</v>
      </c>
      <c r="F216" s="142">
        <v>0.0</v>
      </c>
      <c r="G216" s="142">
        <v>0.0</v>
      </c>
      <c r="H216" s="109" t="str">
        <f t="shared" si="157"/>
        <v>51,299.25</v>
      </c>
      <c r="I216" s="93"/>
      <c r="J216" s="93"/>
      <c r="K216" s="109" t="str">
        <f t="shared" si="158"/>
        <v>53,043.42</v>
      </c>
      <c r="L216" s="109" t="str">
        <f t="shared" si="159"/>
        <v>62,591.24</v>
      </c>
      <c r="M216" s="114" t="str">
        <f t="shared" si="160"/>
        <v>1.00</v>
      </c>
      <c r="N216" s="109" t="str">
        <f t="shared" si="161"/>
        <v>62,591.24</v>
      </c>
      <c r="O216" s="92"/>
      <c r="P216" s="1"/>
      <c r="Q216" s="1"/>
    </row>
    <row r="217" ht="12.75" customHeight="1">
      <c r="A217" s="117" t="s">
        <v>39</v>
      </c>
      <c r="B217" s="118" t="s">
        <v>374</v>
      </c>
      <c r="C217" s="141" t="s">
        <v>344</v>
      </c>
      <c r="D217" s="144">
        <v>4933.52</v>
      </c>
      <c r="E217" s="142">
        <v>0.0</v>
      </c>
      <c r="F217" s="142">
        <v>0.0</v>
      </c>
      <c r="G217" s="142">
        <v>0.0</v>
      </c>
      <c r="H217" s="109" t="str">
        <f t="shared" si="157"/>
        <v>4,933.52</v>
      </c>
      <c r="I217" s="93"/>
      <c r="J217" s="93"/>
      <c r="K217" s="109" t="str">
        <f t="shared" si="158"/>
        <v>5,101.26</v>
      </c>
      <c r="L217" s="109" t="str">
        <f t="shared" si="159"/>
        <v>6,019.49</v>
      </c>
      <c r="M217" s="114" t="str">
        <f t="shared" si="160"/>
        <v>1.00</v>
      </c>
      <c r="N217" s="109" t="str">
        <f t="shared" si="161"/>
        <v>6,019.49</v>
      </c>
      <c r="O217" s="92"/>
      <c r="P217" s="1"/>
      <c r="Q217" s="1"/>
    </row>
    <row r="218" ht="12.75" customHeight="1">
      <c r="A218" s="117" t="s">
        <v>42</v>
      </c>
      <c r="B218" s="118" t="s">
        <v>375</v>
      </c>
      <c r="C218" s="141" t="s">
        <v>351</v>
      </c>
      <c r="D218" s="144">
        <v>105.22</v>
      </c>
      <c r="E218" s="142">
        <v>7238.27</v>
      </c>
      <c r="F218" s="142">
        <v>1582.31</v>
      </c>
      <c r="G218" s="142">
        <v>0.0</v>
      </c>
      <c r="H218" s="109" t="str">
        <f t="shared" si="157"/>
        <v>8,925.80</v>
      </c>
      <c r="I218" s="93"/>
      <c r="J218" s="93"/>
      <c r="K218" s="109" t="str">
        <f t="shared" si="158"/>
        <v>9,175.48</v>
      </c>
      <c r="L218" s="109" t="str">
        <f t="shared" si="159"/>
        <v>10,827.06</v>
      </c>
      <c r="M218" s="114" t="str">
        <f t="shared" si="160"/>
        <v>1.00</v>
      </c>
      <c r="N218" s="109" t="str">
        <f t="shared" si="161"/>
        <v>10,827.06</v>
      </c>
      <c r="O218" s="92"/>
      <c r="P218" s="1"/>
      <c r="Q218" s="1"/>
    </row>
    <row r="219" ht="25.5" customHeight="1">
      <c r="A219" s="117" t="s">
        <v>223</v>
      </c>
      <c r="B219" s="118" t="s">
        <v>376</v>
      </c>
      <c r="C219" s="122" t="s">
        <v>377</v>
      </c>
      <c r="D219" s="144">
        <v>10665.38</v>
      </c>
      <c r="E219" s="144">
        <v>146.39</v>
      </c>
      <c r="F219" s="144">
        <v>13634.12</v>
      </c>
      <c r="G219" s="144">
        <v>0.0</v>
      </c>
      <c r="H219" s="109" t="str">
        <f t="shared" si="157"/>
        <v>24,445.89</v>
      </c>
      <c r="I219" s="93"/>
      <c r="J219" s="93"/>
      <c r="K219" s="109" t="str">
        <f t="shared" si="158"/>
        <v>24,813.49</v>
      </c>
      <c r="L219" s="109" t="str">
        <f t="shared" si="159"/>
        <v>29,279.92</v>
      </c>
      <c r="M219" s="114" t="str">
        <f t="shared" si="160"/>
        <v>1.00</v>
      </c>
      <c r="N219" s="109" t="str">
        <f t="shared" si="161"/>
        <v>29,279.92</v>
      </c>
      <c r="O219" s="92"/>
      <c r="P219" s="1"/>
      <c r="Q219" s="1"/>
    </row>
    <row r="220" ht="12.75" customHeight="1">
      <c r="A220" s="117" t="s">
        <v>226</v>
      </c>
      <c r="B220" s="118" t="s">
        <v>378</v>
      </c>
      <c r="C220" s="141" t="s">
        <v>379</v>
      </c>
      <c r="D220" s="144">
        <v>61.22</v>
      </c>
      <c r="E220" s="144">
        <v>44.51</v>
      </c>
      <c r="F220" s="144">
        <v>183.32</v>
      </c>
      <c r="G220" s="144">
        <v>0.0</v>
      </c>
      <c r="H220" s="109" t="str">
        <f t="shared" si="157"/>
        <v>289.05</v>
      </c>
      <c r="I220" s="93"/>
      <c r="J220" s="93"/>
      <c r="K220" s="109" t="str">
        <f t="shared" si="158"/>
        <v>292.64</v>
      </c>
      <c r="L220" s="109" t="str">
        <f t="shared" si="159"/>
        <v>345.32</v>
      </c>
      <c r="M220" s="114" t="str">
        <f t="shared" si="160"/>
        <v>1.00</v>
      </c>
      <c r="N220" s="109" t="str">
        <f t="shared" si="161"/>
        <v>345.32</v>
      </c>
      <c r="O220" s="92"/>
      <c r="P220" s="1"/>
      <c r="Q220" s="1"/>
    </row>
    <row r="221" ht="12.75" customHeight="1">
      <c r="A221" s="117" t="s">
        <v>229</v>
      </c>
      <c r="B221" s="118" t="s">
        <v>380</v>
      </c>
      <c r="C221" s="141" t="s">
        <v>381</v>
      </c>
      <c r="D221" s="144">
        <v>40277.5</v>
      </c>
      <c r="E221" s="144">
        <v>198.62</v>
      </c>
      <c r="F221" s="144">
        <v>0.0</v>
      </c>
      <c r="G221" s="144">
        <v>0.0</v>
      </c>
      <c r="H221" s="109" t="str">
        <f t="shared" si="157"/>
        <v>40,476.12</v>
      </c>
      <c r="I221" s="93"/>
      <c r="J221" s="93"/>
      <c r="K221" s="109" t="str">
        <f t="shared" si="158"/>
        <v>41,852.31</v>
      </c>
      <c r="L221" s="109" t="str">
        <f t="shared" si="159"/>
        <v>49,385.72</v>
      </c>
      <c r="M221" s="114" t="str">
        <f t="shared" si="160"/>
        <v>1.00</v>
      </c>
      <c r="N221" s="109" t="str">
        <f t="shared" si="161"/>
        <v>49,385.72</v>
      </c>
      <c r="O221" s="92"/>
      <c r="P221" s="1"/>
      <c r="Q221" s="1"/>
    </row>
    <row r="222" ht="12.75" customHeight="1">
      <c r="A222" s="117" t="s">
        <v>232</v>
      </c>
      <c r="B222" s="118" t="s">
        <v>382</v>
      </c>
      <c r="C222" s="141" t="s">
        <v>249</v>
      </c>
      <c r="D222" s="144">
        <v>4993.95</v>
      </c>
      <c r="E222" s="144">
        <v>0.0</v>
      </c>
      <c r="F222" s="144">
        <v>0.0</v>
      </c>
      <c r="G222" s="144">
        <v>0.0</v>
      </c>
      <c r="H222" s="109" t="str">
        <f t="shared" si="157"/>
        <v>4,993.95</v>
      </c>
      <c r="I222" s="93"/>
      <c r="J222" s="93"/>
      <c r="K222" s="109" t="str">
        <f t="shared" si="158"/>
        <v>5,163.74</v>
      </c>
      <c r="L222" s="109" t="str">
        <f t="shared" si="159"/>
        <v>6,093.22</v>
      </c>
      <c r="M222" s="114" t="str">
        <f t="shared" si="160"/>
        <v>1.00</v>
      </c>
      <c r="N222" s="109" t="str">
        <f t="shared" si="161"/>
        <v>6,093.22</v>
      </c>
      <c r="O222" s="92"/>
      <c r="P222" s="1"/>
      <c r="Q222" s="1"/>
    </row>
    <row r="223" ht="12.75" customHeight="1">
      <c r="A223" s="117" t="s">
        <v>235</v>
      </c>
      <c r="B223" s="118" t="s">
        <v>383</v>
      </c>
      <c r="C223" s="141" t="s">
        <v>252</v>
      </c>
      <c r="D223" s="144">
        <v>4101.74</v>
      </c>
      <c r="E223" s="144">
        <v>0.0</v>
      </c>
      <c r="F223" s="144">
        <v>0.0</v>
      </c>
      <c r="G223" s="144">
        <v>0.0</v>
      </c>
      <c r="H223" s="109" t="str">
        <f t="shared" si="157"/>
        <v>4,101.74</v>
      </c>
      <c r="I223" s="93"/>
      <c r="J223" s="93"/>
      <c r="K223" s="109" t="str">
        <f t="shared" si="158"/>
        <v>4,241.20</v>
      </c>
      <c r="L223" s="109" t="str">
        <f t="shared" si="159"/>
        <v>5,004.62</v>
      </c>
      <c r="M223" s="114" t="str">
        <f t="shared" si="160"/>
        <v>1.00</v>
      </c>
      <c r="N223" s="109" t="str">
        <f t="shared" si="161"/>
        <v>5,004.62</v>
      </c>
      <c r="O223" s="92"/>
      <c r="P223" s="1"/>
      <c r="Q223" s="1"/>
    </row>
    <row r="224" ht="12.75" customHeight="1">
      <c r="A224" s="117" t="s">
        <v>238</v>
      </c>
      <c r="B224" s="118" t="s">
        <v>384</v>
      </c>
      <c r="C224" s="141" t="s">
        <v>385</v>
      </c>
      <c r="D224" s="144">
        <v>14834.25</v>
      </c>
      <c r="E224" s="144">
        <v>0.0</v>
      </c>
      <c r="F224" s="144">
        <v>0.0</v>
      </c>
      <c r="G224" s="144">
        <v>0.0</v>
      </c>
      <c r="H224" s="109" t="str">
        <f t="shared" si="157"/>
        <v>14,834.25</v>
      </c>
      <c r="I224" s="93"/>
      <c r="J224" s="93"/>
      <c r="K224" s="109" t="str">
        <f t="shared" si="158"/>
        <v>15,338.61</v>
      </c>
      <c r="L224" s="109" t="str">
        <f t="shared" si="159"/>
        <v>18,099.57</v>
      </c>
      <c r="M224" s="114" t="str">
        <f t="shared" si="160"/>
        <v>1.00</v>
      </c>
      <c r="N224" s="109" t="str">
        <f t="shared" si="161"/>
        <v>18,099.57</v>
      </c>
      <c r="O224" s="92"/>
      <c r="P224" s="1"/>
      <c r="Q224" s="1"/>
    </row>
    <row r="225" ht="12.75" customHeight="1">
      <c r="A225" s="112"/>
      <c r="B225" s="112"/>
      <c r="C225" s="113" t="s">
        <v>45</v>
      </c>
      <c r="D225" s="139" t="str">
        <f t="shared" ref="D225:H225" si="162">SUM(D215:D224)</f>
        <v>1,209,912.59</v>
      </c>
      <c r="E225" s="139" t="str">
        <f t="shared" si="162"/>
        <v>7,627.79</v>
      </c>
      <c r="F225" s="139" t="str">
        <f t="shared" si="162"/>
        <v>15,399.75</v>
      </c>
      <c r="G225" s="139" t="str">
        <f t="shared" si="162"/>
        <v>0.00</v>
      </c>
      <c r="H225" s="139" t="str">
        <f t="shared" si="162"/>
        <v>1,232,940.13</v>
      </c>
      <c r="I225" s="93"/>
      <c r="J225" s="93"/>
      <c r="K225" s="127" t="str">
        <f>SUM(K215:K224)</f>
        <v>1,274,336.50</v>
      </c>
      <c r="L225" s="127">
        <v>1503717.08</v>
      </c>
      <c r="M225" s="114"/>
      <c r="N225" s="127">
        <v>1503717.08</v>
      </c>
      <c r="O225" s="92"/>
      <c r="P225" s="1"/>
      <c r="Q225" s="1"/>
    </row>
    <row r="226" ht="12.75" customHeight="1">
      <c r="A226" s="112" t="s">
        <v>46</v>
      </c>
      <c r="B226" s="112"/>
      <c r="C226" s="113" t="s">
        <v>47</v>
      </c>
      <c r="D226" s="110"/>
      <c r="E226" s="110"/>
      <c r="F226" s="110"/>
      <c r="G226" s="110"/>
      <c r="H226" s="110"/>
      <c r="I226" s="93"/>
      <c r="J226" s="93"/>
      <c r="K226" s="109"/>
      <c r="L226" s="109"/>
      <c r="M226" s="114"/>
      <c r="N226" s="109"/>
      <c r="O226" s="92"/>
      <c r="P226" s="1"/>
      <c r="Q226" s="1"/>
    </row>
    <row r="227" ht="25.5" customHeight="1">
      <c r="A227" s="112"/>
      <c r="B227" s="112"/>
      <c r="C227" s="115" t="s">
        <v>48</v>
      </c>
      <c r="D227" s="110"/>
      <c r="E227" s="110"/>
      <c r="F227" s="110"/>
      <c r="G227" s="110"/>
      <c r="H227" s="110"/>
      <c r="I227" s="93"/>
      <c r="J227" s="93"/>
      <c r="K227" s="109"/>
      <c r="L227" s="109"/>
      <c r="M227" s="114"/>
      <c r="N227" s="109"/>
      <c r="O227" s="92"/>
      <c r="P227" s="1"/>
      <c r="Q227" s="1"/>
    </row>
    <row r="228" ht="12.75" customHeight="1">
      <c r="A228" s="117" t="s">
        <v>265</v>
      </c>
      <c r="B228" s="112"/>
      <c r="C228" s="141" t="s">
        <v>49</v>
      </c>
      <c r="D228" s="142" t="str">
        <f t="shared" ref="D228:G228" si="163">SUM(D227)</f>
        <v>0.00</v>
      </c>
      <c r="E228" s="142" t="str">
        <f t="shared" si="163"/>
        <v>0.00</v>
      </c>
      <c r="F228" s="142" t="str">
        <f t="shared" si="163"/>
        <v>0.00</v>
      </c>
      <c r="G228" s="142" t="str">
        <f t="shared" si="163"/>
        <v>0.00</v>
      </c>
      <c r="H228" s="144" t="str">
        <f t="shared" ref="H228:H229" si="165">SUM(D228:G228)</f>
        <v>0.00</v>
      </c>
      <c r="I228" s="93"/>
      <c r="J228" s="93"/>
      <c r="K228" s="109" t="str">
        <f>(D228+E228)*1.034</f>
        <v>0.00</v>
      </c>
      <c r="L228" s="109" t="str">
        <f>((D228+E228)*1.034+F228+G228)*1.18</f>
        <v>0.00</v>
      </c>
      <c r="M228" s="114"/>
      <c r="N228" s="109" t="str">
        <f>L228</f>
        <v>0.00</v>
      </c>
      <c r="O228" s="92"/>
      <c r="P228" s="1"/>
      <c r="Q228" s="1"/>
    </row>
    <row r="229" ht="12.75" customHeight="1">
      <c r="A229" s="112"/>
      <c r="B229" s="112"/>
      <c r="C229" s="113" t="s">
        <v>50</v>
      </c>
      <c r="D229" s="143" t="str">
        <f t="shared" ref="D229:G229" si="164">SUM(D228)</f>
        <v>0.00</v>
      </c>
      <c r="E229" s="143" t="str">
        <f t="shared" si="164"/>
        <v>0.00</v>
      </c>
      <c r="F229" s="143" t="str">
        <f t="shared" si="164"/>
        <v>0.00</v>
      </c>
      <c r="G229" s="143" t="str">
        <f t="shared" si="164"/>
        <v>0.00</v>
      </c>
      <c r="H229" s="143" t="str">
        <f t="shared" si="165"/>
        <v>0.00</v>
      </c>
      <c r="I229" s="93"/>
      <c r="J229" s="93"/>
      <c r="K229" s="109"/>
      <c r="L229" s="127" t="str">
        <f>L228</f>
        <v>0.00</v>
      </c>
      <c r="M229" s="114"/>
      <c r="N229" s="109" t="str">
        <f>N228</f>
        <v>0.00</v>
      </c>
      <c r="O229" s="92"/>
      <c r="P229" s="1"/>
      <c r="Q229" s="1"/>
    </row>
    <row r="230" ht="12.75" customHeight="1">
      <c r="A230" s="112" t="s">
        <v>51</v>
      </c>
      <c r="B230" s="112"/>
      <c r="C230" s="113" t="s">
        <v>52</v>
      </c>
      <c r="D230" s="142"/>
      <c r="E230" s="142"/>
      <c r="F230" s="142"/>
      <c r="G230" s="142"/>
      <c r="H230" s="110"/>
      <c r="I230" s="93"/>
      <c r="J230" s="93"/>
      <c r="K230" s="109"/>
      <c r="L230" s="109"/>
      <c r="M230" s="114"/>
      <c r="N230" s="109"/>
      <c r="O230" s="92"/>
      <c r="P230" s="1"/>
      <c r="Q230" s="1"/>
    </row>
    <row r="231" ht="12.75" customHeight="1">
      <c r="A231" s="112"/>
      <c r="B231" s="112"/>
      <c r="C231" s="115" t="s">
        <v>53</v>
      </c>
      <c r="D231" s="142"/>
      <c r="E231" s="142"/>
      <c r="F231" s="142"/>
      <c r="G231" s="142"/>
      <c r="H231" s="110"/>
      <c r="I231" s="93"/>
      <c r="J231" s="93"/>
      <c r="K231" s="109"/>
      <c r="L231" s="109"/>
      <c r="M231" s="114"/>
      <c r="N231" s="109"/>
      <c r="O231" s="92"/>
      <c r="P231" s="1"/>
      <c r="Q231" s="1"/>
    </row>
    <row r="232" ht="12.75" customHeight="1">
      <c r="A232" s="117" t="s">
        <v>54</v>
      </c>
      <c r="B232" s="122"/>
      <c r="C232" s="141" t="s">
        <v>49</v>
      </c>
      <c r="D232" s="142">
        <v>0.0</v>
      </c>
      <c r="E232" s="142">
        <v>0.0</v>
      </c>
      <c r="F232" s="142">
        <v>0.0</v>
      </c>
      <c r="G232" s="142">
        <v>0.0</v>
      </c>
      <c r="H232" s="144" t="str">
        <f>SUM(D232:G232)</f>
        <v>0.00</v>
      </c>
      <c r="I232" s="93"/>
      <c r="J232" s="93"/>
      <c r="K232" s="109" t="str">
        <f>(D232+E232)*1.034</f>
        <v>0.00</v>
      </c>
      <c r="L232" s="109" t="str">
        <f>((D232+E232)*1.034+F232+G232)*1.18</f>
        <v>0.00</v>
      </c>
      <c r="M232" s="114"/>
      <c r="N232" s="109" t="str">
        <f>L232</f>
        <v>0.00</v>
      </c>
      <c r="O232" s="92"/>
      <c r="P232" s="1"/>
      <c r="Q232" s="1"/>
    </row>
    <row r="233" ht="12.75" customHeight="1">
      <c r="A233" s="112"/>
      <c r="B233" s="112"/>
      <c r="C233" s="113" t="s">
        <v>57</v>
      </c>
      <c r="D233" s="139" t="str">
        <f t="shared" ref="D233:H233" si="166">D232</f>
        <v>0.00</v>
      </c>
      <c r="E233" s="139" t="str">
        <f t="shared" si="166"/>
        <v>0.00</v>
      </c>
      <c r="F233" s="139" t="str">
        <f t="shared" si="166"/>
        <v>0.00</v>
      </c>
      <c r="G233" s="139" t="str">
        <f t="shared" si="166"/>
        <v>0.00</v>
      </c>
      <c r="H233" s="139" t="str">
        <f t="shared" si="166"/>
        <v>0.00</v>
      </c>
      <c r="I233" s="93"/>
      <c r="J233" s="93"/>
      <c r="K233" s="109"/>
      <c r="L233" s="127" t="str">
        <f>SUM(L232)</f>
        <v>0.00</v>
      </c>
      <c r="M233" s="114"/>
      <c r="N233" s="109" t="str">
        <f>SUM(N232)</f>
        <v>0.00</v>
      </c>
      <c r="O233" s="92"/>
      <c r="P233" s="1"/>
      <c r="Q233" s="1"/>
    </row>
    <row r="234" ht="12.75" customHeight="1">
      <c r="A234" s="112" t="s">
        <v>58</v>
      </c>
      <c r="B234" s="112"/>
      <c r="C234" s="113" t="s">
        <v>59</v>
      </c>
      <c r="D234" s="110"/>
      <c r="E234" s="110"/>
      <c r="F234" s="110"/>
      <c r="G234" s="110"/>
      <c r="H234" s="110"/>
      <c r="I234" s="93"/>
      <c r="J234" s="93"/>
      <c r="K234" s="109"/>
      <c r="L234" s="109"/>
      <c r="M234" s="114"/>
      <c r="N234" s="109"/>
      <c r="O234" s="92"/>
      <c r="P234" s="1"/>
      <c r="Q234" s="1"/>
    </row>
    <row r="235" ht="25.5" customHeight="1">
      <c r="A235" s="112"/>
      <c r="B235" s="112"/>
      <c r="C235" s="115" t="s">
        <v>60</v>
      </c>
      <c r="D235" s="110"/>
      <c r="E235" s="110"/>
      <c r="F235" s="110"/>
      <c r="G235" s="110"/>
      <c r="H235" s="110"/>
      <c r="I235" s="93"/>
      <c r="J235" s="93"/>
      <c r="K235" s="109"/>
      <c r="L235" s="109"/>
      <c r="M235" s="114"/>
      <c r="N235" s="109"/>
      <c r="O235" s="92"/>
      <c r="P235" s="1"/>
      <c r="Q235" s="1"/>
    </row>
    <row r="236" ht="12.75" customHeight="1">
      <c r="A236" s="117" t="s">
        <v>61</v>
      </c>
      <c r="B236" s="122"/>
      <c r="C236" s="141" t="s">
        <v>49</v>
      </c>
      <c r="D236" s="144">
        <v>0.0</v>
      </c>
      <c r="E236" s="144">
        <v>0.0</v>
      </c>
      <c r="F236" s="144">
        <v>0.0</v>
      </c>
      <c r="G236" s="144">
        <v>0.0</v>
      </c>
      <c r="H236" s="144" t="str">
        <f t="shared" ref="H236:H237" si="168">SUM(D236:G236)</f>
        <v>0.00</v>
      </c>
      <c r="I236" s="93"/>
      <c r="J236" s="93"/>
      <c r="K236" s="109" t="str">
        <f>(D236+E236)*1.034</f>
        <v>0.00</v>
      </c>
      <c r="L236" s="109" t="str">
        <f>((D236+E236)*1.034+F236+G236)*1.18</f>
        <v>0.00</v>
      </c>
      <c r="M236" s="114"/>
      <c r="N236" s="109" t="str">
        <f>L236</f>
        <v>0.00</v>
      </c>
      <c r="O236" s="92"/>
      <c r="P236" s="1"/>
      <c r="Q236" s="1"/>
    </row>
    <row r="237" ht="12.75" customHeight="1">
      <c r="A237" s="112"/>
      <c r="B237" s="112"/>
      <c r="C237" s="113" t="s">
        <v>62</v>
      </c>
      <c r="D237" s="143" t="str">
        <f t="shared" ref="D237:G237" si="167">D236</f>
        <v>0.00</v>
      </c>
      <c r="E237" s="143" t="str">
        <f t="shared" si="167"/>
        <v>0.00</v>
      </c>
      <c r="F237" s="143" t="str">
        <f t="shared" si="167"/>
        <v>0.00</v>
      </c>
      <c r="G237" s="143" t="str">
        <f t="shared" si="167"/>
        <v>0.00</v>
      </c>
      <c r="H237" s="143" t="str">
        <f t="shared" si="168"/>
        <v>0.00</v>
      </c>
      <c r="I237" s="93"/>
      <c r="J237" s="93"/>
      <c r="K237" s="109"/>
      <c r="L237" s="127" t="str">
        <f>L236</f>
        <v>0.00</v>
      </c>
      <c r="M237" s="114"/>
      <c r="N237" s="109" t="str">
        <f>N236</f>
        <v>0.00</v>
      </c>
      <c r="O237" s="92"/>
      <c r="P237" s="1"/>
      <c r="Q237" s="1"/>
    </row>
    <row r="238" ht="12.75" customHeight="1">
      <c r="A238" s="112" t="s">
        <v>63</v>
      </c>
      <c r="B238" s="112"/>
      <c r="C238" s="113" t="s">
        <v>64</v>
      </c>
      <c r="D238" s="110"/>
      <c r="E238" s="110"/>
      <c r="F238" s="110"/>
      <c r="G238" s="110"/>
      <c r="H238" s="110"/>
      <c r="I238" s="93"/>
      <c r="J238" s="93"/>
      <c r="K238" s="109"/>
      <c r="L238" s="109"/>
      <c r="M238" s="114"/>
      <c r="N238" s="109"/>
      <c r="O238" s="92"/>
      <c r="P238" s="1"/>
      <c r="Q238" s="1"/>
    </row>
    <row r="239" ht="51.0" customHeight="1">
      <c r="A239" s="112"/>
      <c r="B239" s="112"/>
      <c r="C239" s="115" t="s">
        <v>65</v>
      </c>
      <c r="D239" s="110"/>
      <c r="E239" s="110"/>
      <c r="F239" s="110"/>
      <c r="G239" s="110"/>
      <c r="H239" s="110"/>
      <c r="I239" s="93"/>
      <c r="J239" s="93"/>
      <c r="K239" s="109"/>
      <c r="L239" s="109"/>
      <c r="M239" s="114"/>
      <c r="N239" s="109"/>
      <c r="O239" s="92"/>
      <c r="P239" s="1"/>
      <c r="Q239" s="1"/>
    </row>
    <row r="240" ht="25.5" customHeight="1">
      <c r="A240" s="117" t="s">
        <v>66</v>
      </c>
      <c r="B240" s="118" t="s">
        <v>369</v>
      </c>
      <c r="C240" s="119" t="s">
        <v>386</v>
      </c>
      <c r="D240" s="109">
        <v>7031.25</v>
      </c>
      <c r="E240" s="109">
        <v>11251.55</v>
      </c>
      <c r="F240" s="109">
        <v>0.0</v>
      </c>
      <c r="G240" s="109">
        <v>0.0</v>
      </c>
      <c r="H240" s="109" t="str">
        <f>SUM(D240:G240)</f>
        <v>18,282.80</v>
      </c>
      <c r="I240" s="93"/>
      <c r="J240" s="93"/>
      <c r="K240" s="109" t="str">
        <f t="shared" ref="K240:K241" si="169">(D240+E240)*1.034+F240+G240</f>
        <v>18,904.42</v>
      </c>
      <c r="L240" s="109" t="str">
        <f t="shared" ref="L240:L241" si="170">K240*1.18</f>
        <v>22,307.21</v>
      </c>
      <c r="M240" s="114" t="str">
        <f t="shared" ref="M240:M241" si="171">N240/L240</f>
        <v>1.00</v>
      </c>
      <c r="N240" s="109" t="str">
        <f>L240</f>
        <v>22,307.21</v>
      </c>
      <c r="O240" s="92"/>
      <c r="P240" s="1"/>
      <c r="Q240" s="1"/>
    </row>
    <row r="241" ht="12.75" customHeight="1">
      <c r="A241" s="117" t="s">
        <v>279</v>
      </c>
      <c r="B241" s="118" t="s">
        <v>387</v>
      </c>
      <c r="C241" s="119" t="s">
        <v>388</v>
      </c>
      <c r="D241" s="109">
        <v>0.0</v>
      </c>
      <c r="E241" s="109">
        <v>2017.8</v>
      </c>
      <c r="F241" s="109">
        <v>267412.35</v>
      </c>
      <c r="G241" s="109">
        <v>1504.24</v>
      </c>
      <c r="H241" s="109">
        <v>270934.38</v>
      </c>
      <c r="I241" s="93"/>
      <c r="J241" s="93"/>
      <c r="K241" s="109" t="str">
        <f t="shared" si="169"/>
        <v>271,003.00</v>
      </c>
      <c r="L241" s="109" t="str">
        <f t="shared" si="170"/>
        <v>319,783.53</v>
      </c>
      <c r="M241" s="114" t="str">
        <f t="shared" si="171"/>
        <v>1.00</v>
      </c>
      <c r="N241" s="109">
        <v>319753.63</v>
      </c>
      <c r="O241" s="92"/>
      <c r="P241" s="1"/>
      <c r="Q241" s="1"/>
    </row>
    <row r="242" ht="12.75" customHeight="1">
      <c r="A242" s="112"/>
      <c r="B242" s="112"/>
      <c r="C242" s="113" t="s">
        <v>67</v>
      </c>
      <c r="D242" s="139" t="str">
        <f t="shared" ref="D242:H242" si="172">SUM(D240:D241)</f>
        <v>7,031.25</v>
      </c>
      <c r="E242" s="139" t="str">
        <f t="shared" si="172"/>
        <v>13,269.35</v>
      </c>
      <c r="F242" s="139" t="str">
        <f t="shared" si="172"/>
        <v>267,412.35</v>
      </c>
      <c r="G242" s="139" t="str">
        <f t="shared" si="172"/>
        <v>1,504.24</v>
      </c>
      <c r="H242" s="127" t="str">
        <f t="shared" si="172"/>
        <v>289,217.18</v>
      </c>
      <c r="I242" s="93"/>
      <c r="J242" s="93"/>
      <c r="K242" s="127" t="str">
        <f t="shared" ref="K242:L242" si="173">SUM(K240:K241)</f>
        <v>289,907.41</v>
      </c>
      <c r="L242" s="127" t="str">
        <f t="shared" si="173"/>
        <v>342,090.74</v>
      </c>
      <c r="M242" s="114"/>
      <c r="N242" s="127" t="str">
        <f>SUM(N240:N241)</f>
        <v>342,060.84</v>
      </c>
      <c r="O242" s="92"/>
      <c r="P242" s="1"/>
      <c r="Q242" s="1"/>
    </row>
    <row r="243" ht="12.75" customHeight="1">
      <c r="A243" s="112" t="s">
        <v>68</v>
      </c>
      <c r="B243" s="112"/>
      <c r="C243" s="113" t="s">
        <v>69</v>
      </c>
      <c r="D243" s="110"/>
      <c r="E243" s="110"/>
      <c r="F243" s="110"/>
      <c r="G243" s="110"/>
      <c r="H243" s="110"/>
      <c r="I243" s="93"/>
      <c r="J243" s="93"/>
      <c r="K243" s="109"/>
      <c r="L243" s="109"/>
      <c r="M243" s="114"/>
      <c r="N243" s="109"/>
      <c r="O243" s="92"/>
      <c r="P243" s="1"/>
      <c r="Q243" s="1"/>
    </row>
    <row r="244" ht="25.5" customHeight="1">
      <c r="A244" s="112"/>
      <c r="B244" s="112"/>
      <c r="C244" s="115" t="s">
        <v>70</v>
      </c>
      <c r="D244" s="110"/>
      <c r="E244" s="110"/>
      <c r="F244" s="110"/>
      <c r="G244" s="110"/>
      <c r="H244" s="110"/>
      <c r="I244" s="93"/>
      <c r="J244" s="93"/>
      <c r="K244" s="109"/>
      <c r="L244" s="109"/>
      <c r="M244" s="114"/>
      <c r="N244" s="109"/>
      <c r="O244" s="92"/>
      <c r="P244" s="1"/>
      <c r="Q244" s="1"/>
    </row>
    <row r="245" ht="12.75" customHeight="1">
      <c r="A245" s="117" t="s">
        <v>71</v>
      </c>
      <c r="B245" s="119"/>
      <c r="C245" s="141" t="s">
        <v>49</v>
      </c>
      <c r="D245" s="144">
        <v>0.0</v>
      </c>
      <c r="E245" s="144">
        <v>0.0</v>
      </c>
      <c r="F245" s="144">
        <v>0.0</v>
      </c>
      <c r="G245" s="144">
        <v>0.0</v>
      </c>
      <c r="H245" s="144" t="str">
        <f t="shared" ref="H245:H247" si="175">SUM(D245:G245)</f>
        <v>0.00</v>
      </c>
      <c r="I245" s="93"/>
      <c r="J245" s="93"/>
      <c r="K245" s="109" t="str">
        <f>(D245+E245)*1.034</f>
        <v>0.00</v>
      </c>
      <c r="L245" s="109" t="str">
        <f>((D245+E245)*1.034+F245+G245)*1.18</f>
        <v>0.00</v>
      </c>
      <c r="M245" s="114"/>
      <c r="N245" s="109" t="str">
        <f>L245</f>
        <v>0.00</v>
      </c>
      <c r="O245" s="92"/>
      <c r="P245" s="1"/>
      <c r="Q245" s="1"/>
    </row>
    <row r="246" ht="12.75" customHeight="1">
      <c r="A246" s="112"/>
      <c r="B246" s="112"/>
      <c r="C246" s="113" t="s">
        <v>72</v>
      </c>
      <c r="D246" s="139" t="str">
        <f t="shared" ref="D246:G246" si="174">SUM(D245)</f>
        <v>0.00</v>
      </c>
      <c r="E246" s="139" t="str">
        <f t="shared" si="174"/>
        <v>0.00</v>
      </c>
      <c r="F246" s="139" t="str">
        <f t="shared" si="174"/>
        <v>0.00</v>
      </c>
      <c r="G246" s="139" t="str">
        <f t="shared" si="174"/>
        <v>0.00</v>
      </c>
      <c r="H246" s="139" t="str">
        <f t="shared" si="175"/>
        <v>0.00</v>
      </c>
      <c r="I246" s="93"/>
      <c r="J246" s="93"/>
      <c r="K246" s="109"/>
      <c r="L246" s="127" t="str">
        <f>L245</f>
        <v>0.00</v>
      </c>
      <c r="M246" s="114"/>
      <c r="N246" s="109" t="str">
        <f>N245</f>
        <v>0.00</v>
      </c>
      <c r="O246" s="92"/>
      <c r="P246" s="1"/>
      <c r="Q246" s="1"/>
    </row>
    <row r="247" ht="12.75" customHeight="1">
      <c r="A247" s="112"/>
      <c r="B247" s="112"/>
      <c r="C247" s="113" t="s">
        <v>73</v>
      </c>
      <c r="D247" s="139" t="str">
        <f t="shared" ref="D247:G247" si="176">D242+D225+D212</f>
        <v>1,217,153.16</v>
      </c>
      <c r="E247" s="139" t="str">
        <f t="shared" si="176"/>
        <v>20,897.14</v>
      </c>
      <c r="F247" s="139" t="str">
        <f t="shared" si="176"/>
        <v>282,812.10</v>
      </c>
      <c r="G247" s="139" t="str">
        <f t="shared" si="176"/>
        <v>66,222.79</v>
      </c>
      <c r="H247" s="139" t="str">
        <f t="shared" si="175"/>
        <v>1,587,085.19</v>
      </c>
      <c r="I247" s="93"/>
      <c r="J247" s="93"/>
      <c r="K247" s="139" t="str">
        <f t="shared" ref="K247:L247" si="177">K242+K225+K212</f>
        <v>1,629,178.90</v>
      </c>
      <c r="L247" s="139" t="str">
        <f t="shared" si="177"/>
        <v>1,911,154.00</v>
      </c>
      <c r="M247" s="114"/>
      <c r="N247" s="139" t="str">
        <f>N242+N225+N212</f>
        <v>1,901,648.68</v>
      </c>
      <c r="O247" s="92"/>
      <c r="P247" s="1"/>
      <c r="Q247" s="1"/>
    </row>
    <row r="248" ht="12.75" customHeight="1">
      <c r="A248" s="112" t="s">
        <v>74</v>
      </c>
      <c r="B248" s="112"/>
      <c r="C248" s="113" t="s">
        <v>75</v>
      </c>
      <c r="D248" s="144"/>
      <c r="E248" s="144"/>
      <c r="F248" s="144"/>
      <c r="G248" s="144"/>
      <c r="H248" s="144"/>
      <c r="I248" s="93"/>
      <c r="J248" s="93"/>
      <c r="K248" s="109"/>
      <c r="L248" s="109"/>
      <c r="M248" s="114"/>
      <c r="N248" s="109"/>
      <c r="O248" s="92"/>
      <c r="P248" s="1"/>
      <c r="Q248" s="1"/>
    </row>
    <row r="249" ht="12.75" customHeight="1">
      <c r="A249" s="112"/>
      <c r="B249" s="112"/>
      <c r="C249" s="113" t="s">
        <v>76</v>
      </c>
      <c r="D249" s="144"/>
      <c r="E249" s="144"/>
      <c r="F249" s="144"/>
      <c r="G249" s="144"/>
      <c r="H249" s="144"/>
      <c r="I249" s="93"/>
      <c r="J249" s="93"/>
      <c r="K249" s="109"/>
      <c r="L249" s="109"/>
      <c r="M249" s="114"/>
      <c r="N249" s="109"/>
      <c r="O249" s="92"/>
      <c r="P249" s="1"/>
      <c r="Q249" s="1"/>
    </row>
    <row r="250" ht="12.75" customHeight="1">
      <c r="A250" s="117" t="s">
        <v>77</v>
      </c>
      <c r="B250" s="119" t="s">
        <v>389</v>
      </c>
      <c r="C250" s="119"/>
      <c r="D250" s="109"/>
      <c r="E250" s="109"/>
      <c r="F250" s="109"/>
      <c r="G250" s="109"/>
      <c r="H250" s="109"/>
      <c r="I250" s="93"/>
      <c r="J250" s="93"/>
      <c r="K250" s="109"/>
      <c r="L250" s="109"/>
      <c r="M250" s="114"/>
      <c r="N250" s="109"/>
      <c r="O250" s="92"/>
      <c r="P250" s="1"/>
      <c r="Q250" s="1"/>
    </row>
    <row r="251" ht="12.75" customHeight="1">
      <c r="A251" s="117" t="s">
        <v>77</v>
      </c>
      <c r="B251" s="118" t="s">
        <v>390</v>
      </c>
      <c r="C251" s="119" t="s">
        <v>348</v>
      </c>
      <c r="D251" s="109">
        <v>9744.67</v>
      </c>
      <c r="E251" s="109">
        <v>335.44</v>
      </c>
      <c r="F251" s="109">
        <v>2591.47</v>
      </c>
      <c r="G251" s="109">
        <v>0.0</v>
      </c>
      <c r="H251" s="109" t="str">
        <f t="shared" ref="H251:H253" si="178">SUM(D251:G251)</f>
        <v>12,671.58</v>
      </c>
      <c r="I251" s="93"/>
      <c r="J251" s="93"/>
      <c r="K251" s="109" t="str">
        <f t="shared" ref="K251:K253" si="179">(D251+E251)*1.034+F251+G251</f>
        <v>13,014.30</v>
      </c>
      <c r="L251" s="109" t="str">
        <f t="shared" ref="L251:L253" si="180">K251*1.18</f>
        <v>15,356.88</v>
      </c>
      <c r="M251" s="114" t="str">
        <f t="shared" ref="M251:M252" si="181">N251/L251</f>
        <v>1.00</v>
      </c>
      <c r="N251" s="109" t="str">
        <f t="shared" ref="N251:N252" si="182">L251</f>
        <v>15,356.88</v>
      </c>
      <c r="O251" s="92"/>
      <c r="P251" s="1"/>
      <c r="Q251" s="1"/>
    </row>
    <row r="252" ht="12.75" customHeight="1">
      <c r="A252" s="117" t="s">
        <v>349</v>
      </c>
      <c r="B252" s="118" t="s">
        <v>391</v>
      </c>
      <c r="C252" s="119" t="s">
        <v>41</v>
      </c>
      <c r="D252" s="109">
        <v>758.45</v>
      </c>
      <c r="E252" s="109">
        <v>0.0</v>
      </c>
      <c r="F252" s="109">
        <v>0.0</v>
      </c>
      <c r="G252" s="109">
        <v>0.0</v>
      </c>
      <c r="H252" s="109" t="str">
        <f t="shared" si="178"/>
        <v>758.45</v>
      </c>
      <c r="I252" s="93"/>
      <c r="J252" s="93"/>
      <c r="K252" s="109" t="str">
        <f t="shared" si="179"/>
        <v>784.24</v>
      </c>
      <c r="L252" s="109" t="str">
        <f t="shared" si="180"/>
        <v>925.40</v>
      </c>
      <c r="M252" s="114" t="str">
        <f t="shared" si="181"/>
        <v>1.00</v>
      </c>
      <c r="N252" s="109" t="str">
        <f t="shared" si="182"/>
        <v>925.40</v>
      </c>
      <c r="O252" s="92"/>
      <c r="P252" s="1"/>
      <c r="Q252" s="1"/>
    </row>
    <row r="253" ht="12.75" customHeight="1">
      <c r="A253" s="117" t="s">
        <v>352</v>
      </c>
      <c r="B253" s="118" t="s">
        <v>392</v>
      </c>
      <c r="C253" s="202" t="s">
        <v>393</v>
      </c>
      <c r="D253" s="156">
        <v>362.39</v>
      </c>
      <c r="E253" s="156">
        <v>161.93</v>
      </c>
      <c r="F253" s="156">
        <v>149.62</v>
      </c>
      <c r="G253" s="156">
        <v>56.23</v>
      </c>
      <c r="H253" s="156" t="str">
        <f t="shared" si="178"/>
        <v>730.17</v>
      </c>
      <c r="I253" s="228"/>
      <c r="J253" s="228"/>
      <c r="K253" s="109" t="str">
        <f t="shared" si="179"/>
        <v>748.00</v>
      </c>
      <c r="L253" s="109" t="str">
        <f t="shared" si="180"/>
        <v>882.64</v>
      </c>
      <c r="M253" s="229">
        <v>0.0</v>
      </c>
      <c r="N253" s="107">
        <v>0.0</v>
      </c>
      <c r="O253" s="92"/>
      <c r="P253" s="1"/>
      <c r="Q253" s="1"/>
    </row>
    <row r="254" ht="12.75" customHeight="1">
      <c r="A254" s="112"/>
      <c r="B254" s="141"/>
      <c r="C254" s="113" t="s">
        <v>80</v>
      </c>
      <c r="D254" s="139" t="str">
        <f t="shared" ref="D254:H254" si="183">SUM(D251:D253)</f>
        <v>10,865.51</v>
      </c>
      <c r="E254" s="139" t="str">
        <f t="shared" si="183"/>
        <v>497.37</v>
      </c>
      <c r="F254" s="139" t="str">
        <f t="shared" si="183"/>
        <v>2,741.09</v>
      </c>
      <c r="G254" s="139" t="str">
        <f t="shared" si="183"/>
        <v>56.23</v>
      </c>
      <c r="H254" s="139" t="str">
        <f t="shared" si="183"/>
        <v>14,160.20</v>
      </c>
      <c r="I254" s="93"/>
      <c r="J254" s="93"/>
      <c r="K254" s="127" t="str">
        <f>SUM(K251:K253)</f>
        <v>14,546.54</v>
      </c>
      <c r="L254" s="127" t="str">
        <f>SUM(L250:L253)</f>
        <v>17,164.91</v>
      </c>
      <c r="M254" s="114"/>
      <c r="N254" s="127" t="str">
        <f>SUM(N251:N253)</f>
        <v>16,282.28</v>
      </c>
      <c r="O254" s="92"/>
      <c r="P254" s="1"/>
      <c r="Q254" s="1"/>
    </row>
    <row r="255" ht="12.75" customHeight="1">
      <c r="A255" s="112"/>
      <c r="B255" s="141"/>
      <c r="C255" s="113" t="s">
        <v>81</v>
      </c>
      <c r="D255" s="139" t="str">
        <f t="shared" ref="D255:G255" si="184">D254+D247</f>
        <v>1,228,018.67</v>
      </c>
      <c r="E255" s="139" t="str">
        <f t="shared" si="184"/>
        <v>21,394.51</v>
      </c>
      <c r="F255" s="139" t="str">
        <f t="shared" si="184"/>
        <v>285,553.19</v>
      </c>
      <c r="G255" s="139" t="str">
        <f t="shared" si="184"/>
        <v>66,279.02</v>
      </c>
      <c r="H255" s="139" t="str">
        <f>SUM(D255:G255)</f>
        <v>1,601,245.39</v>
      </c>
      <c r="I255" s="93"/>
      <c r="J255" s="93"/>
      <c r="K255" s="139" t="str">
        <f t="shared" ref="K255:L255" si="185">K254+K247</f>
        <v>1,643,725.44</v>
      </c>
      <c r="L255" s="139" t="str">
        <f t="shared" si="185"/>
        <v>1,928,318.91</v>
      </c>
      <c r="M255" s="114"/>
      <c r="N255" s="139" t="str">
        <f>N254+N247</f>
        <v>1,917,930.96</v>
      </c>
      <c r="O255" s="92"/>
      <c r="P255" s="1"/>
      <c r="Q255" s="1"/>
    </row>
    <row r="256" ht="12.75" customHeight="1">
      <c r="A256" s="112" t="s">
        <v>82</v>
      </c>
      <c r="B256" s="141"/>
      <c r="C256" s="113" t="s">
        <v>83</v>
      </c>
      <c r="D256" s="144"/>
      <c r="E256" s="144"/>
      <c r="F256" s="144"/>
      <c r="G256" s="144"/>
      <c r="H256" s="144"/>
      <c r="I256" s="93"/>
      <c r="J256" s="93"/>
      <c r="K256" s="109"/>
      <c r="L256" s="109"/>
      <c r="M256" s="114"/>
      <c r="N256" s="109"/>
      <c r="O256" s="92"/>
      <c r="P256" s="1"/>
      <c r="Q256" s="1"/>
    </row>
    <row r="257" ht="12.75" customHeight="1">
      <c r="A257" s="112"/>
      <c r="B257" s="141"/>
      <c r="C257" s="113" t="s">
        <v>84</v>
      </c>
      <c r="D257" s="144"/>
      <c r="E257" s="144"/>
      <c r="F257" s="144"/>
      <c r="G257" s="144"/>
      <c r="H257" s="144"/>
      <c r="I257" s="93"/>
      <c r="J257" s="93"/>
      <c r="K257" s="109"/>
      <c r="L257" s="109"/>
      <c r="M257" s="114"/>
      <c r="N257" s="109"/>
      <c r="O257" s="92"/>
      <c r="P257" s="1"/>
      <c r="Q257" s="1"/>
    </row>
    <row r="258" ht="38.25" customHeight="1">
      <c r="A258" s="117" t="s">
        <v>85</v>
      </c>
      <c r="B258" s="118" t="s">
        <v>306</v>
      </c>
      <c r="C258" s="204" t="s">
        <v>89</v>
      </c>
      <c r="D258" s="148" t="str">
        <f t="shared" ref="D258:E258" si="186">D255*0.034</f>
        <v>41,752.63</v>
      </c>
      <c r="E258" s="148" t="str">
        <f t="shared" si="186"/>
        <v>727.41</v>
      </c>
      <c r="F258" s="109">
        <v>0.0</v>
      </c>
      <c r="G258" s="109">
        <v>0.0</v>
      </c>
      <c r="H258" s="148" t="str">
        <f t="shared" ref="H258:H262" si="187">SUM(D258:G258)</f>
        <v>42,480.05</v>
      </c>
      <c r="I258" s="93"/>
      <c r="J258" s="93"/>
      <c r="K258" s="109"/>
      <c r="L258" s="109"/>
      <c r="M258" s="114"/>
      <c r="N258" s="109">
        <v>0.0</v>
      </c>
      <c r="O258" s="92"/>
      <c r="P258" s="1"/>
      <c r="Q258" s="1"/>
    </row>
    <row r="259" ht="12.75" customHeight="1">
      <c r="A259" s="117" t="s">
        <v>88</v>
      </c>
      <c r="B259" s="123" t="s">
        <v>210</v>
      </c>
      <c r="C259" s="119" t="s">
        <v>298</v>
      </c>
      <c r="D259" s="109">
        <v>0.0</v>
      </c>
      <c r="E259" s="109">
        <v>0.0</v>
      </c>
      <c r="F259" s="109">
        <v>0.0</v>
      </c>
      <c r="G259" s="109">
        <v>1868.76</v>
      </c>
      <c r="H259" s="109" t="str">
        <f t="shared" si="187"/>
        <v>1,868.76</v>
      </c>
      <c r="I259" s="93"/>
      <c r="J259" s="93"/>
      <c r="K259" s="109" t="str">
        <f t="shared" ref="K259:K260" si="188">H259</f>
        <v>1,868.76</v>
      </c>
      <c r="L259" s="109">
        <v>2205.13</v>
      </c>
      <c r="M259" s="114" t="str">
        <f t="shared" ref="M259:M260" si="189">N259/L259</f>
        <v>1.00</v>
      </c>
      <c r="N259" s="156">
        <v>2205.13</v>
      </c>
      <c r="O259" s="92"/>
      <c r="P259" s="92"/>
      <c r="Q259" s="1"/>
    </row>
    <row r="260" ht="12.75" customHeight="1">
      <c r="A260" s="117" t="s">
        <v>296</v>
      </c>
      <c r="B260" s="123" t="s">
        <v>213</v>
      </c>
      <c r="C260" s="119" t="s">
        <v>299</v>
      </c>
      <c r="D260" s="109">
        <v>0.0</v>
      </c>
      <c r="E260" s="109">
        <v>0.0</v>
      </c>
      <c r="F260" s="109">
        <v>0.0</v>
      </c>
      <c r="G260" s="109">
        <v>2566.38</v>
      </c>
      <c r="H260" s="109" t="str">
        <f t="shared" si="187"/>
        <v>2,566.38</v>
      </c>
      <c r="I260" s="93"/>
      <c r="J260" s="93"/>
      <c r="K260" s="109" t="str">
        <f t="shared" si="188"/>
        <v>2,566.38</v>
      </c>
      <c r="L260" s="109" t="str">
        <f>K260*1.18</f>
        <v>3,028.33</v>
      </c>
      <c r="M260" s="114" t="str">
        <f t="shared" si="189"/>
        <v>1.00</v>
      </c>
      <c r="N260" s="156" t="str">
        <f>L260</f>
        <v>3,028.33</v>
      </c>
      <c r="O260" s="92"/>
      <c r="P260" s="1"/>
      <c r="Q260" s="1"/>
    </row>
    <row r="261" ht="12.75" customHeight="1">
      <c r="A261" s="112"/>
      <c r="B261" s="230"/>
      <c r="C261" s="113" t="s">
        <v>92</v>
      </c>
      <c r="D261" s="139" t="str">
        <f t="shared" ref="D261:G261" si="190">SUM(D258:D260)</f>
        <v>41,752.63</v>
      </c>
      <c r="E261" s="139" t="str">
        <f t="shared" si="190"/>
        <v>727.41</v>
      </c>
      <c r="F261" s="139" t="str">
        <f t="shared" si="190"/>
        <v>0.00</v>
      </c>
      <c r="G261" s="139" t="str">
        <f t="shared" si="190"/>
        <v>4,435.14</v>
      </c>
      <c r="H261" s="139" t="str">
        <f t="shared" si="187"/>
        <v>46,915.19</v>
      </c>
      <c r="I261" s="93"/>
      <c r="J261" s="93"/>
      <c r="K261" s="109"/>
      <c r="L261" s="127" t="str">
        <f>SUM(L258:L260)</f>
        <v>5,233.46</v>
      </c>
      <c r="M261" s="114"/>
      <c r="N261" s="159" t="str">
        <f>SUM(N259:N260)</f>
        <v>5,233.46</v>
      </c>
      <c r="O261" s="92"/>
      <c r="P261" s="1"/>
      <c r="Q261" s="1"/>
    </row>
    <row r="262" ht="12.75" customHeight="1">
      <c r="A262" s="112"/>
      <c r="B262" s="147"/>
      <c r="C262" s="113" t="s">
        <v>93</v>
      </c>
      <c r="D262" s="139" t="str">
        <f t="shared" ref="D262:G262" si="191">D261+D255</f>
        <v>1,269,771.30</v>
      </c>
      <c r="E262" s="139" t="str">
        <f t="shared" si="191"/>
        <v>22,121.92</v>
      </c>
      <c r="F262" s="139" t="str">
        <f t="shared" si="191"/>
        <v>285,553.19</v>
      </c>
      <c r="G262" s="139" t="str">
        <f t="shared" si="191"/>
        <v>70,714.16</v>
      </c>
      <c r="H262" s="139" t="str">
        <f t="shared" si="187"/>
        <v>1,648,160.58</v>
      </c>
      <c r="I262" s="93"/>
      <c r="J262" s="93"/>
      <c r="K262" s="109"/>
      <c r="L262" s="127" t="str">
        <f>L255+L261</f>
        <v>1,933,552.37</v>
      </c>
      <c r="M262" s="114"/>
      <c r="N262" s="127" t="str">
        <f>N255+N261</f>
        <v>1,923,164.42</v>
      </c>
      <c r="O262" s="92"/>
      <c r="P262" s="1"/>
      <c r="Q262" s="1"/>
    </row>
    <row r="263" ht="12.75" customHeight="1">
      <c r="A263" s="112" t="s">
        <v>94</v>
      </c>
      <c r="B263" s="147"/>
      <c r="C263" s="113" t="s">
        <v>95</v>
      </c>
      <c r="D263" s="139"/>
      <c r="E263" s="139"/>
      <c r="F263" s="139"/>
      <c r="G263" s="139"/>
      <c r="H263" s="139"/>
      <c r="I263" s="93"/>
      <c r="J263" s="93"/>
      <c r="K263" s="109"/>
      <c r="L263" s="109"/>
      <c r="M263" s="114"/>
      <c r="N263" s="109"/>
      <c r="O263" s="92"/>
      <c r="P263" s="1"/>
      <c r="Q263" s="1"/>
    </row>
    <row r="264" ht="38.25" customHeight="1">
      <c r="A264" s="112"/>
      <c r="B264" s="147"/>
      <c r="C264" s="149" t="s">
        <v>314</v>
      </c>
      <c r="D264" s="139"/>
      <c r="E264" s="139"/>
      <c r="F264" s="139"/>
      <c r="G264" s="139"/>
      <c r="H264" s="139"/>
      <c r="I264" s="93"/>
      <c r="J264" s="93"/>
      <c r="K264" s="109"/>
      <c r="L264" s="109"/>
      <c r="M264" s="114"/>
      <c r="N264" s="109"/>
      <c r="O264" s="92"/>
      <c r="P264" s="1"/>
      <c r="Q264" s="1"/>
    </row>
    <row r="265" ht="60.0" customHeight="1">
      <c r="A265" s="117" t="s">
        <v>97</v>
      </c>
      <c r="B265" s="136" t="s">
        <v>394</v>
      </c>
      <c r="C265" s="151" t="s">
        <v>99</v>
      </c>
      <c r="D265" s="109">
        <v>0.0</v>
      </c>
      <c r="E265" s="109">
        <v>0.0</v>
      </c>
      <c r="F265" s="109">
        <v>0.0</v>
      </c>
      <c r="G265" s="109" t="str">
        <f>(H262)*0.011</f>
        <v>18,129.77</v>
      </c>
      <c r="H265" s="109" t="str">
        <f t="shared" ref="H265:H267" si="193">SUM(D265:G265)</f>
        <v>18,129.77</v>
      </c>
      <c r="I265" s="93"/>
      <c r="J265" s="93"/>
      <c r="K265" s="109"/>
      <c r="L265" s="109" t="str">
        <f>G265*1.18</f>
        <v>21,393.12</v>
      </c>
      <c r="M265" s="114" t="str">
        <f>N265/L265</f>
        <v>0.99</v>
      </c>
      <c r="N265" s="109">
        <v>21154.8</v>
      </c>
      <c r="O265" s="92"/>
      <c r="P265" s="1"/>
      <c r="Q265" s="1"/>
    </row>
    <row r="266" ht="12.75" customHeight="1">
      <c r="A266" s="112"/>
      <c r="B266" s="112"/>
      <c r="C266" s="113" t="s">
        <v>100</v>
      </c>
      <c r="D266" s="143" t="str">
        <f t="shared" ref="D266:G266" si="192">SUM(D265)</f>
        <v>0.00</v>
      </c>
      <c r="E266" s="143" t="str">
        <f t="shared" si="192"/>
        <v>0.00</v>
      </c>
      <c r="F266" s="143" t="str">
        <f t="shared" si="192"/>
        <v>0.00</v>
      </c>
      <c r="G266" s="139" t="str">
        <f t="shared" si="192"/>
        <v>18,129.77</v>
      </c>
      <c r="H266" s="139" t="str">
        <f t="shared" si="193"/>
        <v>18,129.77</v>
      </c>
      <c r="I266" s="93"/>
      <c r="J266" s="93"/>
      <c r="K266" s="109"/>
      <c r="L266" s="127" t="str">
        <f>L265</f>
        <v>21,393.12</v>
      </c>
      <c r="M266" s="114"/>
      <c r="N266" s="127" t="str">
        <f>N265</f>
        <v>21,154.80</v>
      </c>
      <c r="O266" s="92"/>
      <c r="P266" s="1"/>
      <c r="Q266" s="1"/>
    </row>
    <row r="267" ht="12.75" customHeight="1">
      <c r="A267" s="112"/>
      <c r="B267" s="112"/>
      <c r="C267" s="113" t="s">
        <v>101</v>
      </c>
      <c r="D267" s="139" t="str">
        <f t="shared" ref="D267:G267" si="194">D262+D266</f>
        <v>1,269,771.30</v>
      </c>
      <c r="E267" s="139" t="str">
        <f t="shared" si="194"/>
        <v>22,121.92</v>
      </c>
      <c r="F267" s="139" t="str">
        <f t="shared" si="194"/>
        <v>285,553.19</v>
      </c>
      <c r="G267" s="139" t="str">
        <f t="shared" si="194"/>
        <v>88,843.93</v>
      </c>
      <c r="H267" s="139" t="str">
        <f t="shared" si="193"/>
        <v>1,666,290.34</v>
      </c>
      <c r="I267" s="93"/>
      <c r="J267" s="93"/>
      <c r="K267" s="109"/>
      <c r="L267" s="139" t="str">
        <f>L262+L266</f>
        <v>1,954,945.49</v>
      </c>
      <c r="M267" s="114"/>
      <c r="N267" s="139" t="str">
        <f>N262+N266</f>
        <v>1,944,319.22</v>
      </c>
      <c r="O267" s="92"/>
      <c r="P267" s="1"/>
      <c r="Q267" s="1"/>
    </row>
    <row r="268" ht="12.75" customHeight="1">
      <c r="A268" s="112" t="s">
        <v>102</v>
      </c>
      <c r="B268" s="112"/>
      <c r="C268" s="113" t="s">
        <v>103</v>
      </c>
      <c r="D268" s="139"/>
      <c r="E268" s="139"/>
      <c r="F268" s="139"/>
      <c r="G268" s="139"/>
      <c r="H268" s="139"/>
      <c r="I268" s="93"/>
      <c r="J268" s="93"/>
      <c r="K268" s="109"/>
      <c r="L268" s="109"/>
      <c r="M268" s="114"/>
      <c r="N268" s="109"/>
      <c r="O268" s="92"/>
      <c r="P268" s="1"/>
      <c r="Q268" s="1"/>
    </row>
    <row r="269" ht="12.75" customHeight="1">
      <c r="A269" s="112"/>
      <c r="B269" s="112"/>
      <c r="C269" s="115" t="s">
        <v>104</v>
      </c>
      <c r="D269" s="139"/>
      <c r="E269" s="139"/>
      <c r="F269" s="139"/>
      <c r="G269" s="139"/>
      <c r="H269" s="139"/>
      <c r="I269" s="93"/>
      <c r="J269" s="93"/>
      <c r="K269" s="109"/>
      <c r="L269" s="109"/>
      <c r="M269" s="114"/>
      <c r="N269" s="109"/>
      <c r="O269" s="92"/>
      <c r="P269" s="1"/>
      <c r="Q269" s="1"/>
    </row>
    <row r="270" ht="12.75" customHeight="1">
      <c r="A270" s="112"/>
      <c r="B270" s="112"/>
      <c r="C270" s="141" t="s">
        <v>49</v>
      </c>
      <c r="D270" s="110"/>
      <c r="E270" s="110"/>
      <c r="F270" s="110"/>
      <c r="G270" s="142">
        <v>0.0</v>
      </c>
      <c r="H270" s="142" t="str">
        <f>G270</f>
        <v>0.00</v>
      </c>
      <c r="I270" s="93"/>
      <c r="J270" s="93"/>
      <c r="K270" s="109" t="str">
        <f>(D270+E270)*1.034</f>
        <v>0.00</v>
      </c>
      <c r="L270" s="109" t="str">
        <f>((D270+E270)*1.034+F270+G270)*1.18</f>
        <v>0.00</v>
      </c>
      <c r="M270" s="114"/>
      <c r="N270" s="109" t="str">
        <f>L270</f>
        <v>0.00</v>
      </c>
      <c r="O270" s="92"/>
      <c r="P270" s="1"/>
      <c r="Q270" s="1"/>
    </row>
    <row r="271" ht="12.75" customHeight="1">
      <c r="A271" s="112"/>
      <c r="B271" s="112"/>
      <c r="C271" s="113" t="s">
        <v>105</v>
      </c>
      <c r="D271" s="143" t="str">
        <f t="shared" ref="D271:G271" si="195">SUM(D270)</f>
        <v>0.00</v>
      </c>
      <c r="E271" s="143" t="str">
        <f t="shared" si="195"/>
        <v>0.00</v>
      </c>
      <c r="F271" s="143" t="str">
        <f t="shared" si="195"/>
        <v>0.00</v>
      </c>
      <c r="G271" s="143" t="str">
        <f t="shared" si="195"/>
        <v>0.00</v>
      </c>
      <c r="H271" s="143" t="str">
        <f t="shared" ref="H271:H272" si="197">SUM(D271:G271)</f>
        <v>0.00</v>
      </c>
      <c r="I271" s="93"/>
      <c r="J271" s="93"/>
      <c r="K271" s="109"/>
      <c r="L271" s="109" t="str">
        <f>L270</f>
        <v>0.00</v>
      </c>
      <c r="M271" s="114"/>
      <c r="N271" s="109" t="str">
        <f>N270</f>
        <v>0.00</v>
      </c>
      <c r="O271" s="92"/>
      <c r="P271" s="1"/>
      <c r="Q271" s="1"/>
    </row>
    <row r="272" ht="12.75" customHeight="1">
      <c r="A272" s="112"/>
      <c r="B272" s="112"/>
      <c r="C272" s="113" t="s">
        <v>106</v>
      </c>
      <c r="D272" s="139" t="str">
        <f t="shared" ref="D272:G272" si="196">SUM(D267,D271)</f>
        <v>1,269,771.30</v>
      </c>
      <c r="E272" s="139" t="str">
        <f t="shared" si="196"/>
        <v>22,121.92</v>
      </c>
      <c r="F272" s="139" t="str">
        <f t="shared" si="196"/>
        <v>285,553.19</v>
      </c>
      <c r="G272" s="139" t="str">
        <f t="shared" si="196"/>
        <v>88,843.93</v>
      </c>
      <c r="H272" s="139" t="str">
        <f t="shared" si="197"/>
        <v>1,666,290.34</v>
      </c>
      <c r="I272" s="93"/>
      <c r="J272" s="93"/>
      <c r="K272" s="109"/>
      <c r="L272" s="127" t="str">
        <f>L267+L271</f>
        <v>1,954,945.49</v>
      </c>
      <c r="M272" s="114"/>
      <c r="N272" s="127" t="str">
        <f>N267+N271</f>
        <v>1,944,319.22</v>
      </c>
      <c r="O272" s="92"/>
      <c r="P272" s="1"/>
      <c r="Q272" s="1"/>
    </row>
    <row r="273" ht="12.75" customHeight="1">
      <c r="A273" s="112" t="s">
        <v>107</v>
      </c>
      <c r="B273" s="112"/>
      <c r="C273" s="113" t="s">
        <v>108</v>
      </c>
      <c r="D273" s="139"/>
      <c r="E273" s="139"/>
      <c r="F273" s="139"/>
      <c r="G273" s="139"/>
      <c r="H273" s="139"/>
      <c r="I273" s="93"/>
      <c r="J273" s="93"/>
      <c r="K273" s="109"/>
      <c r="L273" s="109"/>
      <c r="M273" s="114"/>
      <c r="N273" s="109"/>
      <c r="O273" s="92"/>
      <c r="P273" s="1"/>
      <c r="Q273" s="1"/>
    </row>
    <row r="274" ht="25.5" customHeight="1">
      <c r="A274" s="112"/>
      <c r="B274" s="112"/>
      <c r="C274" s="115" t="s">
        <v>109</v>
      </c>
      <c r="D274" s="139"/>
      <c r="E274" s="139"/>
      <c r="F274" s="139"/>
      <c r="G274" s="139"/>
      <c r="H274" s="139"/>
      <c r="I274" s="93"/>
      <c r="J274" s="93"/>
      <c r="K274" s="109"/>
      <c r="L274" s="109"/>
      <c r="M274" s="114"/>
      <c r="N274" s="109"/>
      <c r="O274" s="92"/>
      <c r="P274" s="1"/>
      <c r="Q274" s="1"/>
    </row>
    <row r="275" ht="24.0" customHeight="1">
      <c r="A275" s="117" t="s">
        <v>321</v>
      </c>
      <c r="B275" s="118" t="s">
        <v>360</v>
      </c>
      <c r="C275" s="119" t="s">
        <v>318</v>
      </c>
      <c r="D275" s="109">
        <v>0.0</v>
      </c>
      <c r="E275" s="109">
        <v>0.0</v>
      </c>
      <c r="F275" s="109">
        <v>0.0</v>
      </c>
      <c r="G275" s="109">
        <v>134919.72</v>
      </c>
      <c r="H275" s="109" t="str">
        <f>D275+E275+F275+G275</f>
        <v>134,919.72</v>
      </c>
      <c r="I275" s="93"/>
      <c r="J275" s="93"/>
      <c r="K275" s="109"/>
      <c r="L275" s="109" t="str">
        <f>G275*1.18</f>
        <v>159,205.27</v>
      </c>
      <c r="M275" s="114" t="str">
        <f t="shared" ref="M275:M278" si="198">N275/L275</f>
        <v>1.00</v>
      </c>
      <c r="N275" s="109" t="str">
        <f>L275</f>
        <v>159,205.27</v>
      </c>
      <c r="O275" s="92"/>
      <c r="P275" s="1"/>
      <c r="Q275" s="1"/>
    </row>
    <row r="276" ht="48.0" customHeight="1">
      <c r="A276" s="117" t="s">
        <v>119</v>
      </c>
      <c r="B276" s="207" t="s">
        <v>361</v>
      </c>
      <c r="C276" s="135" t="s">
        <v>323</v>
      </c>
      <c r="D276" s="109">
        <v>0.0</v>
      </c>
      <c r="E276" s="109">
        <v>0.0</v>
      </c>
      <c r="F276" s="109">
        <v>0.0</v>
      </c>
      <c r="G276" s="109">
        <v>2869.68</v>
      </c>
      <c r="H276" s="109" t="str">
        <f>G276</f>
        <v>2,869.68</v>
      </c>
      <c r="I276" s="93"/>
      <c r="J276" s="93"/>
      <c r="K276" s="109"/>
      <c r="L276" s="109">
        <v>3386.23</v>
      </c>
      <c r="M276" s="114" t="str">
        <f t="shared" si="198"/>
        <v>0.90</v>
      </c>
      <c r="N276" s="109">
        <v>3050.68</v>
      </c>
      <c r="O276" s="92"/>
      <c r="P276" s="1"/>
      <c r="Q276" s="1"/>
    </row>
    <row r="277" ht="25.5" customHeight="1">
      <c r="A277" s="117"/>
      <c r="B277" s="207" t="s">
        <v>395</v>
      </c>
      <c r="C277" s="135" t="s">
        <v>325</v>
      </c>
      <c r="D277" s="109">
        <v>0.0</v>
      </c>
      <c r="E277" s="109">
        <v>0.0</v>
      </c>
      <c r="F277" s="109">
        <v>0.0</v>
      </c>
      <c r="G277" s="109">
        <v>335.54</v>
      </c>
      <c r="H277" s="109" t="str">
        <f>D277+E277+F277+G277</f>
        <v>335.54</v>
      </c>
      <c r="I277" s="93"/>
      <c r="J277" s="93"/>
      <c r="K277" s="109"/>
      <c r="L277" s="109" t="str">
        <f>G277</f>
        <v>335.54</v>
      </c>
      <c r="M277" s="114" t="str">
        <f t="shared" si="198"/>
        <v>1.00</v>
      </c>
      <c r="N277" s="109" t="str">
        <f>L277</f>
        <v>335.54</v>
      </c>
      <c r="O277" s="92"/>
      <c r="P277" s="1"/>
      <c r="Q277" s="1"/>
    </row>
    <row r="278" ht="12.75" customHeight="1">
      <c r="A278" s="117"/>
      <c r="B278" s="207" t="s">
        <v>396</v>
      </c>
      <c r="C278" s="135" t="s">
        <v>320</v>
      </c>
      <c r="D278" s="109"/>
      <c r="E278" s="109"/>
      <c r="F278" s="109"/>
      <c r="G278" s="109" t="str">
        <f>H262*0.2%</f>
        <v>3,296.32</v>
      </c>
      <c r="H278" s="109" t="str">
        <f>G278</f>
        <v>3,296.32</v>
      </c>
      <c r="I278" s="93"/>
      <c r="J278" s="93"/>
      <c r="K278" s="109"/>
      <c r="L278" s="109" t="str">
        <f>G278*1.18</f>
        <v>3,889.66</v>
      </c>
      <c r="M278" s="114" t="str">
        <f t="shared" si="198"/>
        <v>0.99</v>
      </c>
      <c r="N278" s="109">
        <v>3842.98</v>
      </c>
      <c r="O278" s="231"/>
      <c r="P278" s="1"/>
      <c r="Q278" s="1"/>
    </row>
    <row r="279" ht="12.75" customHeight="1">
      <c r="A279" s="112"/>
      <c r="B279" s="130"/>
      <c r="C279" s="113" t="s">
        <v>157</v>
      </c>
      <c r="D279" s="143" t="str">
        <f t="shared" ref="D279:F279" si="199">SUM(D275:D278)</f>
        <v>0.00</v>
      </c>
      <c r="E279" s="143" t="str">
        <f t="shared" si="199"/>
        <v>0.00</v>
      </c>
      <c r="F279" s="143" t="str">
        <f t="shared" si="199"/>
        <v>0.00</v>
      </c>
      <c r="G279" s="139">
        <v>141421.27</v>
      </c>
      <c r="H279" s="139" t="str">
        <f>SUM(D279:G279)</f>
        <v>141,421.27</v>
      </c>
      <c r="I279" s="93"/>
      <c r="J279" s="93"/>
      <c r="K279" s="109"/>
      <c r="L279" s="127" t="str">
        <f>SUM(L275:L278)</f>
        <v>166,816.70</v>
      </c>
      <c r="M279" s="114"/>
      <c r="N279" s="159">
        <v>166434.48</v>
      </c>
      <c r="O279" s="92"/>
      <c r="P279" s="1"/>
      <c r="Q279" s="1"/>
    </row>
    <row r="280" ht="12.75" customHeight="1">
      <c r="A280" s="112"/>
      <c r="B280" s="130"/>
      <c r="C280" s="113" t="s">
        <v>158</v>
      </c>
      <c r="D280" s="139" t="str">
        <f t="shared" ref="D280:H280" si="200">SUM(D272,D279)</f>
        <v>1,269,771.30</v>
      </c>
      <c r="E280" s="139" t="str">
        <f t="shared" si="200"/>
        <v>22,121.92</v>
      </c>
      <c r="F280" s="139" t="str">
        <f t="shared" si="200"/>
        <v>285,553.19</v>
      </c>
      <c r="G280" s="139" t="str">
        <f t="shared" si="200"/>
        <v>230,265.20</v>
      </c>
      <c r="H280" s="139" t="str">
        <f t="shared" si="200"/>
        <v>1,807,711.61</v>
      </c>
      <c r="I280" s="93"/>
      <c r="J280" s="93"/>
      <c r="K280" s="109"/>
      <c r="L280" s="127" t="str">
        <f>L272+L279</f>
        <v>2,121,762.19</v>
      </c>
      <c r="M280" s="114"/>
      <c r="N280" s="127" t="str">
        <f>N272+N279</f>
        <v>2,110,753.70</v>
      </c>
      <c r="O280" s="92"/>
      <c r="P280" s="1"/>
      <c r="Q280" s="1"/>
    </row>
    <row r="281" ht="25.5" customHeight="1">
      <c r="A281" s="112" t="s">
        <v>162</v>
      </c>
      <c r="B281" s="123" t="s">
        <v>163</v>
      </c>
      <c r="C281" s="122" t="s">
        <v>397</v>
      </c>
      <c r="D281" s="144" t="str">
        <f t="shared" ref="D281:G281" si="201">D280*0.02</f>
        <v>25,395.43</v>
      </c>
      <c r="E281" s="144" t="str">
        <f t="shared" si="201"/>
        <v>442.44</v>
      </c>
      <c r="F281" s="144" t="str">
        <f t="shared" si="201"/>
        <v>5,711.06</v>
      </c>
      <c r="G281" s="144" t="str">
        <f t="shared" si="201"/>
        <v>4,605.30</v>
      </c>
      <c r="H281" s="144" t="str">
        <f t="shared" ref="H281:H283" si="203">SUM(D281:G281)</f>
        <v>36,154.23</v>
      </c>
      <c r="I281" s="93"/>
      <c r="J281" s="93"/>
      <c r="K281" s="109"/>
      <c r="L281" s="109" t="str">
        <f>H281*1.18</f>
        <v>42,661.99</v>
      </c>
      <c r="M281" s="114" t="str">
        <f>N281/L281</f>
        <v>0.02</v>
      </c>
      <c r="N281" s="156">
        <v>1034.48</v>
      </c>
      <c r="O281" s="92"/>
      <c r="P281" s="208"/>
      <c r="Q281" s="1"/>
    </row>
    <row r="282" ht="12.75" customHeight="1">
      <c r="A282" s="112" t="s">
        <v>165</v>
      </c>
      <c r="B282" s="112"/>
      <c r="C282" s="209" t="s">
        <v>398</v>
      </c>
      <c r="D282" s="139" t="str">
        <f t="shared" ref="D282:G282" si="202">D280+D281</f>
        <v>1,295,166.73</v>
      </c>
      <c r="E282" s="139" t="str">
        <f t="shared" si="202"/>
        <v>22,564.36</v>
      </c>
      <c r="F282" s="139" t="str">
        <f t="shared" si="202"/>
        <v>291,264.25</v>
      </c>
      <c r="G282" s="139" t="str">
        <f t="shared" si="202"/>
        <v>234,870.50</v>
      </c>
      <c r="H282" s="139" t="str">
        <f t="shared" si="203"/>
        <v>1,843,865.85</v>
      </c>
      <c r="I282" s="93"/>
      <c r="J282" s="93"/>
      <c r="K282" s="109"/>
      <c r="L282" s="159" t="str">
        <f>L280+L281</f>
        <v>2,164,424.19</v>
      </c>
      <c r="M282" s="114"/>
      <c r="N282" s="210">
        <v>2111788.18873</v>
      </c>
      <c r="O282" s="92"/>
      <c r="P282" s="208"/>
      <c r="Q282" s="1"/>
    </row>
    <row r="283" ht="26.25" customHeight="1">
      <c r="A283" s="169" t="s">
        <v>167</v>
      </c>
      <c r="B283" s="169"/>
      <c r="C283" s="171" t="s">
        <v>328</v>
      </c>
      <c r="D283" s="172" t="str">
        <f>D282*0.18</f>
        <v>233,130.01</v>
      </c>
      <c r="E283" s="172">
        <v>4061.58</v>
      </c>
      <c r="F283" s="172" t="str">
        <f>F282*0.18</f>
        <v>52,427.57</v>
      </c>
      <c r="G283" s="172">
        <v>30939.18</v>
      </c>
      <c r="H283" s="232" t="str">
        <f t="shared" si="203"/>
        <v>320,558.34</v>
      </c>
      <c r="I283" s="214"/>
      <c r="J283" s="214"/>
      <c r="K283" s="215"/>
      <c r="L283" s="215"/>
      <c r="M283" s="216"/>
      <c r="N283" s="215"/>
      <c r="O283" s="177"/>
      <c r="P283" s="178"/>
      <c r="Q283" s="178"/>
    </row>
    <row r="284" ht="28.5" customHeight="1">
      <c r="A284" s="179" t="s">
        <v>169</v>
      </c>
      <c r="B284" s="179"/>
      <c r="C284" s="233" t="s">
        <v>399</v>
      </c>
      <c r="D284" s="166" t="str">
        <f t="shared" ref="D284:G284" si="204">D282+D283</f>
        <v>1,528,296.74</v>
      </c>
      <c r="E284" s="166" t="str">
        <f t="shared" si="204"/>
        <v>26,625.94</v>
      </c>
      <c r="F284" s="166" t="str">
        <f t="shared" si="204"/>
        <v>343,691.82</v>
      </c>
      <c r="G284" s="166" t="str">
        <f t="shared" si="204"/>
        <v>265,809.68</v>
      </c>
      <c r="H284" s="166">
        <v>2164424.19</v>
      </c>
      <c r="I284" s="182"/>
      <c r="J284" s="182"/>
      <c r="K284" s="183"/>
      <c r="L284" s="183"/>
      <c r="M284" s="167"/>
      <c r="N284" s="234" t="str">
        <f>N282</f>
        <v>2,111,788.18873</v>
      </c>
      <c r="O284" s="92"/>
      <c r="P284" s="1"/>
      <c r="Q284" s="1"/>
    </row>
    <row r="285" ht="25.5" customHeight="1">
      <c r="A285" s="179"/>
      <c r="B285" s="179"/>
      <c r="C285" s="235" t="s">
        <v>400</v>
      </c>
      <c r="D285" s="217"/>
      <c r="E285" s="217"/>
      <c r="F285" s="217"/>
      <c r="G285" s="217"/>
      <c r="H285" s="236">
        <v>7278602.49</v>
      </c>
      <c r="I285" s="182"/>
      <c r="J285" s="182"/>
      <c r="K285" s="183"/>
      <c r="L285" s="183"/>
      <c r="M285" s="167"/>
      <c r="N285" s="234" t="str">
        <f>N116+N195+N284</f>
        <v>7,012,075.52746</v>
      </c>
      <c r="O285" s="92"/>
      <c r="P285" s="1"/>
      <c r="Q285" s="1"/>
    </row>
    <row r="286" ht="12.75" customHeight="1">
      <c r="A286" s="88"/>
      <c r="B286" s="88"/>
      <c r="C286" s="88"/>
      <c r="D286" s="89"/>
      <c r="E286" s="89"/>
      <c r="F286" s="89"/>
      <c r="G286" s="89"/>
      <c r="H286" s="89"/>
      <c r="I286" s="93"/>
      <c r="J286" s="93"/>
      <c r="K286" s="95"/>
      <c r="L286" s="95"/>
      <c r="M286" s="96"/>
      <c r="N286" s="95"/>
      <c r="O286" s="92"/>
      <c r="P286" s="1"/>
      <c r="Q286" s="1"/>
    </row>
    <row r="287" ht="12.75" customHeight="1">
      <c r="A287" s="88"/>
      <c r="B287" s="88"/>
      <c r="C287" s="88"/>
      <c r="D287" s="89"/>
      <c r="E287" s="89"/>
      <c r="F287" s="89"/>
      <c r="G287" s="89"/>
      <c r="H287" s="89"/>
      <c r="I287" s="93"/>
      <c r="J287" s="93"/>
      <c r="K287" s="95"/>
      <c r="L287" s="95"/>
      <c r="M287" s="96"/>
      <c r="N287" s="95"/>
      <c r="O287" s="92"/>
      <c r="P287" s="1"/>
      <c r="Q287" s="1"/>
    </row>
    <row r="288" ht="15.75" customHeight="1">
      <c r="A288" s="88"/>
      <c r="B288" s="237" t="s">
        <v>401</v>
      </c>
      <c r="C288" s="238"/>
      <c r="D288" s="89"/>
      <c r="E288" s="89"/>
      <c r="F288" s="89"/>
      <c r="G288" s="89"/>
      <c r="H288" s="237" t="s">
        <v>402</v>
      </c>
      <c r="I288" s="237"/>
      <c r="J288" s="237"/>
      <c r="K288" s="237"/>
      <c r="L288" s="95"/>
      <c r="M288" s="96"/>
      <c r="N288" s="95"/>
      <c r="O288" s="92"/>
      <c r="P288" s="1"/>
      <c r="Q288" s="1"/>
    </row>
    <row r="289" ht="15.75" customHeight="1">
      <c r="A289" s="88"/>
      <c r="B289" s="237" t="s">
        <v>403</v>
      </c>
      <c r="C289" s="238"/>
      <c r="D289" s="89"/>
      <c r="E289" s="89"/>
      <c r="F289" s="89"/>
      <c r="G289" s="89"/>
      <c r="H289" s="237" t="s">
        <v>404</v>
      </c>
      <c r="I289" s="237"/>
      <c r="J289" s="237"/>
      <c r="K289" s="237"/>
      <c r="L289" s="95"/>
      <c r="M289" s="96"/>
      <c r="N289" s="95"/>
      <c r="O289" s="92"/>
      <c r="P289" s="1"/>
      <c r="Q289" s="1"/>
    </row>
    <row r="290" ht="15.75" customHeight="1">
      <c r="A290" s="88"/>
      <c r="B290" s="237"/>
      <c r="C290" s="238"/>
      <c r="D290" s="89"/>
      <c r="E290" s="89"/>
      <c r="F290" s="89"/>
      <c r="G290" s="89"/>
      <c r="H290" s="237"/>
      <c r="I290" s="237"/>
      <c r="J290" s="237"/>
      <c r="K290" s="237"/>
      <c r="L290" s="95"/>
      <c r="M290" s="96"/>
      <c r="N290" s="95"/>
      <c r="O290" s="92"/>
      <c r="P290" s="1"/>
      <c r="Q290" s="1"/>
    </row>
    <row r="291" ht="15.75" customHeight="1">
      <c r="A291" s="88"/>
      <c r="B291" s="237" t="s">
        <v>405</v>
      </c>
      <c r="C291" s="238"/>
      <c r="D291" s="89"/>
      <c r="E291" s="89"/>
      <c r="F291" s="89"/>
      <c r="G291" s="89"/>
      <c r="H291" s="237" t="s">
        <v>406</v>
      </c>
      <c r="I291" s="237"/>
      <c r="J291" s="237"/>
      <c r="K291" s="237"/>
      <c r="L291" s="95"/>
      <c r="M291" s="96"/>
      <c r="N291" s="95"/>
      <c r="O291" s="92"/>
      <c r="P291" s="1"/>
      <c r="Q291" s="1"/>
    </row>
  </sheetData>
  <mergeCells count="29">
    <mergeCell ref="F202:G202"/>
    <mergeCell ref="A200:N200"/>
    <mergeCell ref="K203:N203"/>
    <mergeCell ref="A203:A204"/>
    <mergeCell ref="B203:B204"/>
    <mergeCell ref="C203:C204"/>
    <mergeCell ref="C121:C122"/>
    <mergeCell ref="A118:N118"/>
    <mergeCell ref="K121:N121"/>
    <mergeCell ref="A199:N199"/>
    <mergeCell ref="A121:A122"/>
    <mergeCell ref="B121:B122"/>
    <mergeCell ref="H10:H11"/>
    <mergeCell ref="F9:G9"/>
    <mergeCell ref="H1:N1"/>
    <mergeCell ref="A6:N6"/>
    <mergeCell ref="A7:N7"/>
    <mergeCell ref="A10:A11"/>
    <mergeCell ref="B10:B11"/>
    <mergeCell ref="K10:N10"/>
    <mergeCell ref="D10:G10"/>
    <mergeCell ref="D121:G121"/>
    <mergeCell ref="H121:H122"/>
    <mergeCell ref="D116:G116"/>
    <mergeCell ref="F120:G120"/>
    <mergeCell ref="C10:C11"/>
    <mergeCell ref="I14:I15"/>
    <mergeCell ref="D203:G203"/>
    <mergeCell ref="H203:H204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Ëèñòû</vt:lpstr>
      </vt:variant>
      <vt:variant>
        <vt:i4>2</vt:i4>
      </vt:variant>
      <vt:variant>
        <vt:lpstr>Èìåíîâàííûå äèàïàçîíû</vt:lpstr>
      </vt:variant>
      <vt:variant>
        <vt:i4>1</vt:i4>
      </vt:variant>
    </vt:vector>
  </HeadingPairs>
  <TitlesOfParts>
    <vt:vector baseType="lpstr" size="3">
      <vt:lpstr>Áåëîå ìîðå</vt:lpstr>
      <vt:lpstr>Ðàñ÷åò öåíû êîíòðàêòà ãðàôèê</vt:lpstr>
      <vt:lpstr>'Ðàñ÷åò öåíû êîíòðàêòà ãðàôèê'!Îáëàñòü_ïå÷àòè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2016-11-24T11:28:06Z</dcterms:created>
  <dc:creator>Елена Цветкова</dc:creator>
  <cp:lastModifiedBy>Полтавский Артем Борисович</cp:lastModifiedBy>
  <cp:lastPrinted>2019-06-18T11:28:46Z</cp:lastPrinted>
  <dcterms:modified xsi:type="dcterms:W3CDTF">2019-06-18T11:31:33Z</dcterms:modified>
</cp:coreProperties>
</file>